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aveExternalLinkValues="0"/>
  <mc:AlternateContent xmlns:mc="http://schemas.openxmlformats.org/markup-compatibility/2006">
    <mc:Choice Requires="x15">
      <x15ac:absPath xmlns:x15ac="http://schemas.microsoft.com/office/spreadsheetml/2010/11/ac" url="C:\Users\OliviaL\Desktop\"/>
    </mc:Choice>
  </mc:AlternateContent>
  <xr:revisionPtr revIDLastSave="0" documentId="13_ncr:1_{1F3DD67E-8990-4458-BA7A-7D8FC19AEAE9}" xr6:coauthVersionLast="47" xr6:coauthVersionMax="47" xr10:uidLastSave="{00000000-0000-0000-0000-000000000000}"/>
  <workbookProtection workbookAlgorithmName="SHA-512" workbookHashValue="zs0fW65NYG2jp38KkhowqKMbtCvohMeBOZzYcZj6WKA9mTsabCCzPHSEf08PE3I9LzBz1Wx1HeUkHxUWetsH1g==" workbookSaltValue="VmonlRE1CpMOsvy2J1x01A==" workbookSpinCount="100000" lockStructure="1"/>
  <bookViews>
    <workbookView xWindow="0" yWindow="180" windowWidth="25560" windowHeight="15240" tabRatio="854" firstSheet="1" activeTab="1" xr2:uid="{00000000-000D-0000-FFFF-FFFF00000000}"/>
  </bookViews>
  <sheets>
    <sheet name="protocols" sheetId="10" r:id="rId1"/>
    <sheet name="assumptions" sheetId="1" r:id="rId2"/>
    <sheet name="project budget" sheetId="17" r:id="rId3"/>
    <sheet name="sources-uses" sheetId="2" r:id="rId4"/>
    <sheet name="credit calcs" sheetId="18" r:id="rId5"/>
    <sheet name="rents" sheetId="9" r:id="rId6"/>
    <sheet name="rent summary" sheetId="3" r:id="rId7"/>
    <sheet name="expenses" sheetId="4" r:id="rId8"/>
    <sheet name="cashflows" sheetId="5" r:id="rId9"/>
    <sheet name="amortizations" sheetId="6" r:id="rId10"/>
    <sheet name="flow of funds" sheetId="7" r:id="rId11"/>
    <sheet name="Housing w Services" sheetId="11" r:id="rId12"/>
    <sheet name="VHFA Use" sheetId="19" r:id="rId13"/>
  </sheets>
  <externalReferences>
    <externalReference r:id="rId14"/>
  </externalReferences>
  <definedNames>
    <definedName name="ACwvu.EXPENSES." localSheetId="2" hidden="1">'project budget'!#REF!</definedName>
    <definedName name="ACwvu.EXPENSES." localSheetId="3" hidden="1">'sources-uses'!#REF!</definedName>
    <definedName name="Bldg_list">[1]Bldg!$B$6:$B$45</definedName>
    <definedName name="_xlnm.Print_Area" localSheetId="9">amortizations!$A$1:$AE$402</definedName>
    <definedName name="_xlnm.Print_Area" localSheetId="8">cashflows!$A$1:$V$79</definedName>
    <definedName name="_xlnm.Print_Area" localSheetId="4">'credit calcs'!$A$1:$AE$93</definedName>
    <definedName name="_xlnm.Print_Area" localSheetId="7">expenses!$A$1:$E$80</definedName>
    <definedName name="_xlnm.Print_Area" localSheetId="10">'flow of funds'!$B$1:$AC$143</definedName>
    <definedName name="_xlnm.Print_Area" localSheetId="11">'Housing w Services'!$A$2:$I$29</definedName>
    <definedName name="_xlnm.Print_Area" localSheetId="2">'project budget'!$A$1:$M$95</definedName>
    <definedName name="_xlnm.Print_Area" localSheetId="6">'rent summary'!$A$1:$G$39</definedName>
    <definedName name="_xlnm.Print_Area" localSheetId="5">rents!$A$1:$AK$108</definedName>
    <definedName name="_xlnm.Print_Area" localSheetId="3">'sources-uses'!$A$1:$AQ$97</definedName>
    <definedName name="_xlnm.Print_Area" localSheetId="12">'VHFA Use'!$A$1:$H$42</definedName>
    <definedName name="_xlnm.Print_Titles" localSheetId="9">amortizations!$A:$A</definedName>
    <definedName name="Swvu.EXPENSES." localSheetId="2" hidden="1">'project budget'!#REF!</definedName>
    <definedName name="Swvu.EXPENSES." localSheetId="3" hidden="1">'sources-uses'!#REF!</definedName>
    <definedName name="wrn.proforma." localSheetId="12" hidden="1">{#N/A,#N/A,FALSE,"sources";#N/A,#N/A,FALSE,"uses";#N/A,#N/A,FALSE,"rents";#N/A,#N/A,FALSE,"expenses";#N/A,#N/A,FALSE,"cashflows";#N/A,#N/A,FALSE,"flow of funds"}</definedName>
    <definedName name="wrn.proforma." hidden="1">{#N/A,#N/A,FALSE,"sources";#N/A,#N/A,FALSE,"uses";#N/A,#N/A,FALSE,"rents";#N/A,#N/A,FALSE,"expenses";#N/A,#N/A,FALSE,"cashflows";#N/A,#N/A,FALSE,"flow of funds"}</definedName>
    <definedName name="wvu.EXPENSES." localSheetId="2" hidden="1">{TRUE,TRUE,13.75,7,453,285,FALSE,TRUE,TRUE,TRUE,0,1,#N/A,202,#N/A,7.58333333333333,25.1538461538462,1,FALSE,FALSE,1,TRUE,1,FALSE,65,"Swvu.EXPENSES.","ACwvu.EXPENSES.",#N/A,FALSE,FALSE,0.75,0.75,1,1,1,"","",FALSE,FALSE,FALSE,TRUE,1,100,#N/A,#N/A,FALSE,FALSE,#N/A,#N/A,FALSE,FALSE,FALSE,1,300,300,FALSE,FALSE,TRUE,TRUE,TRUE}</definedName>
    <definedName name="wvu.EXPENSES." localSheetId="3" hidden="1">{TRUE,TRUE,13.75,7,453,285,FALSE,TRUE,TRUE,TRUE,0,1,#N/A,202,#N/A,7.58333333333333,25.1538461538462,1,FALSE,FALSE,1,TRUE,1,FALSE,65,"Swvu.EXPENSES.","ACwvu.EXPENSES.",#N/A,FALSE,FALSE,0.75,0.75,1,1,1,"","",FALSE,FALSE,FALSE,TRUE,1,100,#N/A,#N/A,FALSE,FALSE,#N/A,#N/A,FALSE,FALSE,FALSE,1,300,300,FALSE,FALSE,TRUE,TRUE,TRUE}</definedName>
  </definedNames>
  <calcPr calcId="191028"/>
  <customWorkbookViews>
    <customWorkbookView name="EXPENSES (uses)" guid="{CA59FD88-8CCB-11D1-BF5F-0000C0DA655A}" xWindow="22" yWindow="37" windowWidth="594" windowHeight="346" tabRatio="691"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5" l="1"/>
  <c r="B25" i="4"/>
  <c r="D127" i="7"/>
  <c r="F17" i="5"/>
  <c r="K6" i="5"/>
  <c r="U100" i="9"/>
  <c r="AQ12" i="2"/>
  <c r="C92" i="17"/>
  <c r="C91" i="17"/>
  <c r="C83" i="17"/>
  <c r="C75" i="17"/>
  <c r="C66" i="17"/>
  <c r="D11" i="5" l="1"/>
  <c r="B7" i="5"/>
  <c r="B6" i="5"/>
  <c r="D6" i="5"/>
  <c r="E6" i="5" s="1"/>
  <c r="F6" i="5" s="1"/>
  <c r="G6" i="5" s="1"/>
  <c r="H6" i="5" s="1"/>
  <c r="I6" i="5" s="1"/>
  <c r="J6" i="5" s="1"/>
  <c r="L6" i="5" s="1"/>
  <c r="M6" i="5" s="1"/>
  <c r="N6" i="5" s="1"/>
  <c r="O6" i="5" s="1"/>
  <c r="P6" i="5" s="1"/>
  <c r="Q6" i="5" s="1"/>
  <c r="R6" i="5" s="1"/>
  <c r="S6" i="5" s="1"/>
  <c r="T6" i="5" s="1"/>
  <c r="U6" i="5" s="1"/>
  <c r="V6" i="5" s="1"/>
  <c r="W6" i="5" s="1"/>
  <c r="X6" i="5" s="1"/>
  <c r="Y6" i="5" s="1"/>
  <c r="Z6" i="5" s="1"/>
  <c r="AA6" i="5" s="1"/>
  <c r="AB6" i="5" s="1"/>
  <c r="AC6" i="5" s="1"/>
  <c r="AD6" i="5" s="1"/>
  <c r="AE6" i="5" s="1"/>
  <c r="AF6" i="5" s="1"/>
  <c r="B5" i="5"/>
  <c r="F136" i="7"/>
  <c r="E135" i="7"/>
  <c r="F135" i="7"/>
  <c r="C66" i="6"/>
  <c r="B66" i="6"/>
  <c r="B32" i="6" a="1"/>
  <c r="B32" i="6"/>
  <c r="C59" i="5"/>
  <c r="B56" i="1"/>
  <c r="B400" i="6"/>
  <c r="J316" i="6"/>
  <c r="J301" i="6"/>
  <c r="J286" i="6"/>
  <c r="B79" i="4"/>
  <c r="B75" i="4"/>
  <c r="B66" i="4"/>
  <c r="B54" i="4"/>
  <c r="B38" i="4"/>
  <c r="B26" i="4"/>
  <c r="B22" i="4"/>
  <c r="C22" i="4" s="1"/>
  <c r="U58" i="18"/>
  <c r="U59" i="18"/>
  <c r="U60" i="18"/>
  <c r="U61" i="18"/>
  <c r="U62" i="18"/>
  <c r="U63" i="18"/>
  <c r="U64" i="18"/>
  <c r="U65" i="18"/>
  <c r="S58" i="18"/>
  <c r="S59" i="18"/>
  <c r="S60" i="18"/>
  <c r="S61" i="18"/>
  <c r="S62" i="18"/>
  <c r="S63" i="18"/>
  <c r="S64" i="18"/>
  <c r="S65" i="18"/>
  <c r="D23" i="3"/>
  <c r="F20" i="3"/>
  <c r="AM6" i="9"/>
  <c r="AN21" i="9"/>
  <c r="AN20" i="9"/>
  <c r="AN19" i="9"/>
  <c r="AN18" i="9"/>
  <c r="AN17" i="9"/>
  <c r="AN16" i="9"/>
  <c r="AN15" i="9"/>
  <c r="AN14" i="9"/>
  <c r="AN12" i="9"/>
  <c r="AN11" i="9"/>
  <c r="AN10" i="9"/>
  <c r="AN9" i="9"/>
  <c r="AN8" i="9"/>
  <c r="AN7" i="9"/>
  <c r="AN6" i="9"/>
  <c r="U6" i="9"/>
  <c r="AP93" i="2"/>
  <c r="AL93" i="2"/>
  <c r="AM93" i="2"/>
  <c r="AN93" i="2"/>
  <c r="AO93" i="2"/>
  <c r="H93" i="2"/>
  <c r="AQ37" i="2"/>
  <c r="AQ38" i="2"/>
  <c r="AQ39" i="2"/>
  <c r="AQ40" i="2"/>
  <c r="AQ41" i="2"/>
  <c r="AQ42" i="2"/>
  <c r="AQ43" i="2"/>
  <c r="AQ44" i="2"/>
  <c r="AQ45" i="2"/>
  <c r="AQ46" i="2"/>
  <c r="AQ47" i="2"/>
  <c r="AQ48" i="2"/>
  <c r="AQ49" i="2"/>
  <c r="AQ50" i="2"/>
  <c r="AQ51" i="2"/>
  <c r="AQ52" i="2"/>
  <c r="AQ53" i="2"/>
  <c r="AQ54" i="2"/>
  <c r="AQ55" i="2"/>
  <c r="AQ56" i="2"/>
  <c r="AQ57" i="2"/>
  <c r="AQ58" i="2"/>
  <c r="AQ59" i="2"/>
  <c r="AQ60" i="2"/>
  <c r="AQ61" i="2"/>
  <c r="AQ62" i="2"/>
  <c r="AQ63" i="2"/>
  <c r="AQ64" i="2"/>
  <c r="AQ65" i="2"/>
  <c r="AQ16" i="2"/>
  <c r="AQ17" i="2"/>
  <c r="AQ18" i="2"/>
  <c r="AQ19" i="2"/>
  <c r="AQ20" i="2"/>
  <c r="AQ21" i="2"/>
  <c r="AQ22" i="2"/>
  <c r="AQ23" i="2"/>
  <c r="AQ24" i="2"/>
  <c r="AQ25" i="2"/>
  <c r="AQ26" i="2"/>
  <c r="AQ27" i="2"/>
  <c r="AQ28" i="2"/>
  <c r="AQ29" i="2"/>
  <c r="AQ30" i="2"/>
  <c r="AQ31" i="2"/>
  <c r="AQ32" i="2"/>
  <c r="AQ11" i="2"/>
  <c r="AQ10" i="2"/>
  <c r="AQ9" i="2"/>
  <c r="AQ8" i="2"/>
  <c r="AQ7" i="2"/>
  <c r="AQ6" i="2"/>
  <c r="AQ5" i="2"/>
  <c r="D71" i="1"/>
  <c r="D70" i="1"/>
  <c r="E141" i="7"/>
  <c r="AH93" i="7"/>
  <c r="AH94" i="7"/>
  <c r="AH95" i="7"/>
  <c r="AH96" i="7"/>
  <c r="AH97" i="7"/>
  <c r="AH98" i="7"/>
  <c r="AH99" i="7"/>
  <c r="AH100" i="7"/>
  <c r="AH101" i="7"/>
  <c r="AH102" i="7"/>
  <c r="AH103" i="7"/>
  <c r="AH104" i="7"/>
  <c r="AH105" i="7"/>
  <c r="AH106" i="7"/>
  <c r="AH107" i="7"/>
  <c r="AH108" i="7"/>
  <c r="AH109" i="7"/>
  <c r="AH110" i="7"/>
  <c r="AH111" i="7"/>
  <c r="AH112" i="7"/>
  <c r="AH113" i="7"/>
  <c r="AH114" i="7"/>
  <c r="AH115" i="7"/>
  <c r="AH116" i="7"/>
  <c r="AH117" i="7"/>
  <c r="AH118" i="7"/>
  <c r="AH119" i="7"/>
  <c r="AH120" i="7"/>
  <c r="AH121" i="7"/>
  <c r="AH122" i="7"/>
  <c r="AH123" i="7"/>
  <c r="AH124" i="7"/>
  <c r="AH125" i="7"/>
  <c r="AH126" i="7"/>
  <c r="E88" i="7"/>
  <c r="C136" i="7" l="1"/>
  <c r="E133" i="7"/>
  <c r="D39" i="5" l="1"/>
  <c r="C17" i="5"/>
  <c r="C23" i="1"/>
  <c r="D28" i="3"/>
  <c r="L5" i="3"/>
  <c r="L6" i="3"/>
  <c r="L7" i="3"/>
  <c r="L8" i="3"/>
  <c r="L9" i="3"/>
  <c r="L10" i="3"/>
  <c r="L11" i="3"/>
  <c r="L12" i="3"/>
  <c r="L13" i="3"/>
  <c r="L4" i="3"/>
  <c r="C20" i="3"/>
  <c r="D20" i="3"/>
  <c r="E20" i="3"/>
  <c r="D6" i="3"/>
  <c r="AN13" i="9"/>
  <c r="AN22" i="9"/>
  <c r="AN23" i="9"/>
  <c r="AN24" i="9"/>
  <c r="AN25" i="9"/>
  <c r="AN26" i="9"/>
  <c r="AN27" i="9"/>
  <c r="AN28" i="9"/>
  <c r="AN29" i="9"/>
  <c r="AN30" i="9"/>
  <c r="AN31" i="9"/>
  <c r="AN32" i="9"/>
  <c r="AN33" i="9"/>
  <c r="AN34" i="9"/>
  <c r="AN35" i="9"/>
  <c r="AN36" i="9"/>
  <c r="AN37" i="9"/>
  <c r="AN38" i="9"/>
  <c r="AN39" i="9"/>
  <c r="AN40" i="9"/>
  <c r="AN41" i="9"/>
  <c r="AN42" i="9"/>
  <c r="AN43" i="9"/>
  <c r="AN44" i="9"/>
  <c r="AN45" i="9"/>
  <c r="AN46" i="9"/>
  <c r="AN47" i="9"/>
  <c r="AN48" i="9"/>
  <c r="AN49" i="9"/>
  <c r="AN50" i="9"/>
  <c r="AN51" i="9"/>
  <c r="AN52" i="9"/>
  <c r="AN53" i="9"/>
  <c r="AN54" i="9"/>
  <c r="AN55" i="9"/>
  <c r="AN56" i="9"/>
  <c r="AN57" i="9"/>
  <c r="AN58" i="9"/>
  <c r="AN59" i="9"/>
  <c r="AN60" i="9"/>
  <c r="AN61" i="9"/>
  <c r="AN62" i="9"/>
  <c r="AN63" i="9"/>
  <c r="AN64" i="9"/>
  <c r="AN65" i="9"/>
  <c r="AN66" i="9"/>
  <c r="AN67" i="9"/>
  <c r="AN68" i="9"/>
  <c r="AN69" i="9"/>
  <c r="AN70" i="9"/>
  <c r="AN71" i="9"/>
  <c r="AN72" i="9"/>
  <c r="AN73" i="9"/>
  <c r="AN74" i="9"/>
  <c r="AN75" i="9"/>
  <c r="AN76" i="9"/>
  <c r="AN77" i="9"/>
  <c r="AN78" i="9"/>
  <c r="AN79" i="9"/>
  <c r="AN80" i="9"/>
  <c r="AN81" i="9"/>
  <c r="AN82" i="9"/>
  <c r="AN83" i="9"/>
  <c r="AN84" i="9"/>
  <c r="AN85" i="9"/>
  <c r="AN86" i="9"/>
  <c r="AN87" i="9"/>
  <c r="AN88" i="9"/>
  <c r="AN89" i="9"/>
  <c r="AN90" i="9"/>
  <c r="AN91" i="9"/>
  <c r="AN92" i="9"/>
  <c r="AN93" i="9"/>
  <c r="AN94" i="9"/>
  <c r="AN95" i="9"/>
  <c r="AN96" i="9"/>
  <c r="AN97" i="9"/>
  <c r="AN98" i="9"/>
  <c r="AN99" i="9"/>
  <c r="AI101" i="9"/>
  <c r="M4" i="2"/>
  <c r="L4" i="2"/>
  <c r="K4" i="2"/>
  <c r="J4" i="2"/>
  <c r="J93" i="2"/>
  <c r="K93" i="2"/>
  <c r="L93" i="2"/>
  <c r="M93" i="2"/>
  <c r="I93" i="2"/>
  <c r="N93" i="2"/>
  <c r="O93" i="2"/>
  <c r="P93" i="2"/>
  <c r="Q93" i="2"/>
  <c r="R93" i="2"/>
  <c r="S93" i="2"/>
  <c r="T93" i="2"/>
  <c r="U93" i="2"/>
  <c r="V93" i="2"/>
  <c r="W93" i="2"/>
  <c r="X93" i="2"/>
  <c r="Y93" i="2"/>
  <c r="Z93" i="2"/>
  <c r="AA93" i="2"/>
  <c r="AB93" i="2"/>
  <c r="AC93" i="2"/>
  <c r="AD93" i="2"/>
  <c r="AE93" i="2"/>
  <c r="AF93" i="2"/>
  <c r="AG93" i="2"/>
  <c r="AH93" i="2"/>
  <c r="AI93" i="2"/>
  <c r="AJ93" i="2"/>
  <c r="AK93" i="2"/>
  <c r="AD4" i="2"/>
  <c r="AC4" i="2"/>
  <c r="AB4" i="2"/>
  <c r="AB94" i="2" s="1"/>
  <c r="AA4" i="2"/>
  <c r="Z4" i="2"/>
  <c r="Z94" i="2" s="1"/>
  <c r="Y4" i="2"/>
  <c r="X4" i="2"/>
  <c r="AE3" i="2"/>
  <c r="AD3" i="2"/>
  <c r="AC3" i="2"/>
  <c r="AB3" i="2"/>
  <c r="AA3" i="2"/>
  <c r="Z3" i="2"/>
  <c r="Y3" i="2"/>
  <c r="X3" i="2"/>
  <c r="M3" i="2"/>
  <c r="L3" i="2"/>
  <c r="K3" i="2"/>
  <c r="J3" i="2"/>
  <c r="B11" i="1"/>
  <c r="AD93" i="18"/>
  <c r="AC93" i="18"/>
  <c r="AB93" i="18"/>
  <c r="C28" i="19"/>
  <c r="C68" i="1"/>
  <c r="L94" i="2" l="1"/>
  <c r="K94" i="2"/>
  <c r="AA94" i="2"/>
  <c r="J94" i="2"/>
  <c r="Y94" i="2"/>
  <c r="AD94" i="2"/>
  <c r="M94" i="2"/>
  <c r="AC94" i="2"/>
  <c r="X94" i="2"/>
  <c r="D140" i="7"/>
  <c r="C30" i="19"/>
  <c r="D93" i="7" l="1"/>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B123" i="7"/>
  <c r="B124" i="7"/>
  <c r="B125" i="7"/>
  <c r="B126"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10" i="6"/>
  <c r="B117" i="6" s="1"/>
  <c r="B383" i="6"/>
  <c r="B390" i="6" s="1"/>
  <c r="B382" i="6"/>
  <c r="B381" i="6"/>
  <c r="A379" i="6"/>
  <c r="C387" i="6"/>
  <c r="A364" i="6"/>
  <c r="B125" i="6"/>
  <c r="B124" i="6"/>
  <c r="B127" i="6"/>
  <c r="B109" i="6"/>
  <c r="B108" i="6"/>
  <c r="B107" i="6"/>
  <c r="B111" i="6" s="1"/>
  <c r="B112" i="6" s="1"/>
  <c r="A105" i="6"/>
  <c r="C114" i="6"/>
  <c r="D114" i="6" s="1"/>
  <c r="E114" i="6" s="1"/>
  <c r="F114" i="6" s="1"/>
  <c r="G114" i="6" s="1"/>
  <c r="H114" i="6" s="1"/>
  <c r="I114" i="6" s="1"/>
  <c r="J114" i="6" s="1"/>
  <c r="K114" i="6" s="1"/>
  <c r="L114" i="6" s="1"/>
  <c r="M114" i="6" s="1"/>
  <c r="N114" i="6" s="1"/>
  <c r="O114" i="6" s="1"/>
  <c r="P114" i="6" s="1"/>
  <c r="Q114" i="6" s="1"/>
  <c r="R114" i="6" s="1"/>
  <c r="S114" i="6" s="1"/>
  <c r="T114" i="6" s="1"/>
  <c r="U114" i="6" s="1"/>
  <c r="V114" i="6" s="1"/>
  <c r="W114" i="6" s="1"/>
  <c r="X114" i="6" s="1"/>
  <c r="Y114" i="6" s="1"/>
  <c r="Z114" i="6" s="1"/>
  <c r="AA114" i="6" s="1"/>
  <c r="AB114" i="6" s="1"/>
  <c r="AC114" i="6" s="1"/>
  <c r="AD114" i="6" s="1"/>
  <c r="AE114" i="6" s="1"/>
  <c r="B368" i="6"/>
  <c r="B376" i="6" s="1"/>
  <c r="B367" i="6"/>
  <c r="B366" i="6"/>
  <c r="B373" i="6" s="1"/>
  <c r="B194" i="6"/>
  <c r="C372" i="6"/>
  <c r="D372" i="6" s="1"/>
  <c r="E372" i="6" s="1"/>
  <c r="F372" i="6" s="1"/>
  <c r="G372" i="6" s="1"/>
  <c r="B353" i="6"/>
  <c r="B352" i="6"/>
  <c r="B351" i="6"/>
  <c r="B358" i="6" s="1"/>
  <c r="A349" i="6"/>
  <c r="C357" i="6"/>
  <c r="D357" i="6" s="1"/>
  <c r="E357" i="6" s="1"/>
  <c r="F357" i="6" s="1"/>
  <c r="G357" i="6" s="1"/>
  <c r="H357" i="6" s="1"/>
  <c r="I357" i="6" s="1"/>
  <c r="J357" i="6" s="1"/>
  <c r="K357" i="6" s="1"/>
  <c r="B338" i="6"/>
  <c r="B337" i="6"/>
  <c r="B336" i="6"/>
  <c r="B343" i="6" s="1"/>
  <c r="A334" i="6"/>
  <c r="C342" i="6"/>
  <c r="D342" i="6" s="1"/>
  <c r="E342" i="6" s="1"/>
  <c r="F342" i="6" s="1"/>
  <c r="G342" i="6" s="1"/>
  <c r="H342" i="6" s="1"/>
  <c r="B323" i="6"/>
  <c r="B322" i="6"/>
  <c r="B321" i="6"/>
  <c r="B328" i="6" s="1"/>
  <c r="A319" i="6"/>
  <c r="C327" i="6"/>
  <c r="D327" i="6" s="1"/>
  <c r="E327" i="6" s="1"/>
  <c r="F327" i="6" s="1"/>
  <c r="G327" i="6" s="1"/>
  <c r="H327" i="6" s="1"/>
  <c r="I327" i="6" s="1"/>
  <c r="J327" i="6" s="1"/>
  <c r="K327" i="6" s="1"/>
  <c r="L327" i="6" s="1"/>
  <c r="M327" i="6" s="1"/>
  <c r="N327" i="6" s="1"/>
  <c r="B308" i="6"/>
  <c r="B307" i="6"/>
  <c r="B306" i="6"/>
  <c r="B313" i="6" s="1"/>
  <c r="A304" i="6"/>
  <c r="C312" i="6"/>
  <c r="D312" i="6" s="1"/>
  <c r="B293" i="6"/>
  <c r="B278" i="6"/>
  <c r="B277" i="6"/>
  <c r="B276" i="6"/>
  <c r="B283" i="6" s="1"/>
  <c r="B292" i="6"/>
  <c r="B291" i="6"/>
  <c r="B298" i="6" s="1"/>
  <c r="A289" i="6"/>
  <c r="A274" i="6"/>
  <c r="C282" i="6"/>
  <c r="D282" i="6" s="1"/>
  <c r="E282" i="6" s="1"/>
  <c r="F282" i="6" s="1"/>
  <c r="G282" i="6" s="1"/>
  <c r="C297" i="6"/>
  <c r="C267" i="6"/>
  <c r="B230" i="6"/>
  <c r="B246" i="6"/>
  <c r="B253" i="6" s="1"/>
  <c r="B388" i="6" l="1"/>
  <c r="B384" i="6"/>
  <c r="B385" i="6" s="1"/>
  <c r="B309" i="6"/>
  <c r="B310" i="6" s="1"/>
  <c r="B115" i="6"/>
  <c r="B118" i="6" s="1"/>
  <c r="B119" i="6" s="1"/>
  <c r="B391" i="6"/>
  <c r="B339" i="6"/>
  <c r="B340" i="6" s="1"/>
  <c r="B128" i="6"/>
  <c r="B129" i="6" s="1"/>
  <c r="C391" i="6"/>
  <c r="B369" i="6"/>
  <c r="B370" i="6" s="1"/>
  <c r="B324" i="6"/>
  <c r="B325" i="6" s="1"/>
  <c r="D387" i="6"/>
  <c r="D390" i="6" s="1"/>
  <c r="C390" i="6"/>
  <c r="B354" i="6"/>
  <c r="B355" i="6" s="1"/>
  <c r="B279" i="6"/>
  <c r="B280" i="6" s="1"/>
  <c r="B294" i="6"/>
  <c r="B295" i="6" s="1"/>
  <c r="B375" i="6"/>
  <c r="B374" i="6" s="1"/>
  <c r="C375" i="6"/>
  <c r="B330" i="6"/>
  <c r="B329" i="6" s="1"/>
  <c r="B331" i="6"/>
  <c r="C361" i="6"/>
  <c r="H372" i="6"/>
  <c r="I372" i="6" s="1"/>
  <c r="J372" i="6" s="1"/>
  <c r="K372" i="6" s="1"/>
  <c r="L372" i="6" s="1"/>
  <c r="M372" i="6" s="1"/>
  <c r="G375" i="6"/>
  <c r="B360" i="6"/>
  <c r="G376" i="6"/>
  <c r="B361" i="6"/>
  <c r="E376" i="6"/>
  <c r="F376" i="6"/>
  <c r="D375" i="6"/>
  <c r="D376" i="6"/>
  <c r="E375" i="6"/>
  <c r="C376" i="6"/>
  <c r="F375" i="6"/>
  <c r="L357" i="6"/>
  <c r="L360" i="6" s="1"/>
  <c r="K361" i="6"/>
  <c r="E360" i="6"/>
  <c r="F360" i="6"/>
  <c r="G360" i="6"/>
  <c r="H360" i="6"/>
  <c r="I360" i="6"/>
  <c r="J360" i="6"/>
  <c r="D361" i="6"/>
  <c r="J361" i="6"/>
  <c r="D360" i="6"/>
  <c r="I361" i="6"/>
  <c r="C360" i="6"/>
  <c r="H361" i="6"/>
  <c r="G361" i="6"/>
  <c r="F361" i="6"/>
  <c r="E361" i="6"/>
  <c r="K360" i="6"/>
  <c r="E346" i="6"/>
  <c r="C345" i="6"/>
  <c r="B345" i="6"/>
  <c r="B346" i="6"/>
  <c r="D345" i="6"/>
  <c r="I342" i="6"/>
  <c r="I346" i="6" s="1"/>
  <c r="H345" i="6"/>
  <c r="G345" i="6"/>
  <c r="F345" i="6"/>
  <c r="H346" i="6"/>
  <c r="G346" i="6"/>
  <c r="F346" i="6"/>
  <c r="C346" i="6"/>
  <c r="D346" i="6"/>
  <c r="E345" i="6"/>
  <c r="C331" i="6"/>
  <c r="O327" i="6"/>
  <c r="O330" i="6" s="1"/>
  <c r="N331" i="6"/>
  <c r="M331" i="6"/>
  <c r="G330" i="6"/>
  <c r="E330" i="6"/>
  <c r="J331" i="6"/>
  <c r="D330" i="6"/>
  <c r="G331" i="6"/>
  <c r="L331" i="6"/>
  <c r="F330" i="6"/>
  <c r="K331" i="6"/>
  <c r="I331" i="6"/>
  <c r="C330" i="6"/>
  <c r="H331" i="6"/>
  <c r="N330" i="6"/>
  <c r="M330" i="6"/>
  <c r="F331" i="6"/>
  <c r="L330" i="6"/>
  <c r="E331" i="6"/>
  <c r="K330" i="6"/>
  <c r="D331" i="6"/>
  <c r="H330" i="6"/>
  <c r="I330" i="6"/>
  <c r="J330" i="6"/>
  <c r="C316" i="6"/>
  <c r="B316" i="6"/>
  <c r="B315" i="6"/>
  <c r="D286" i="6"/>
  <c r="D316" i="6"/>
  <c r="E312" i="6"/>
  <c r="F312" i="6" s="1"/>
  <c r="G312" i="6" s="1"/>
  <c r="H312" i="6" s="1"/>
  <c r="D315" i="6"/>
  <c r="C315" i="6"/>
  <c r="C285" i="6"/>
  <c r="D285" i="6"/>
  <c r="H282" i="6"/>
  <c r="I282" i="6" s="1"/>
  <c r="J282" i="6" s="1"/>
  <c r="K282" i="6" s="1"/>
  <c r="L282" i="6" s="1"/>
  <c r="M282" i="6" s="1"/>
  <c r="N282" i="6" s="1"/>
  <c r="O282" i="6" s="1"/>
  <c r="P282" i="6" s="1"/>
  <c r="P285" i="6" s="1"/>
  <c r="G285" i="6"/>
  <c r="B286" i="6"/>
  <c r="B285" i="6"/>
  <c r="G286" i="6"/>
  <c r="F286" i="6"/>
  <c r="E286" i="6"/>
  <c r="C286" i="6"/>
  <c r="E285" i="6"/>
  <c r="F285" i="6"/>
  <c r="D297" i="6"/>
  <c r="D267" i="6"/>
  <c r="B116" i="6" l="1"/>
  <c r="M332" i="6"/>
  <c r="C392" i="6"/>
  <c r="D391" i="6"/>
  <c r="D392" i="6" s="1"/>
  <c r="E387" i="6"/>
  <c r="B389" i="6"/>
  <c r="C388" i="6" s="1"/>
  <c r="C389" i="6" s="1"/>
  <c r="D388" i="6" s="1"/>
  <c r="D389" i="6" s="1"/>
  <c r="E388" i="6" s="1"/>
  <c r="B392" i="6"/>
  <c r="C377" i="6"/>
  <c r="K376" i="6"/>
  <c r="D377" i="6"/>
  <c r="F377" i="6"/>
  <c r="G377" i="6"/>
  <c r="E377" i="6"/>
  <c r="I375" i="6"/>
  <c r="K375" i="6"/>
  <c r="M376" i="6"/>
  <c r="N372" i="6"/>
  <c r="L376" i="6"/>
  <c r="I376" i="6"/>
  <c r="M375" i="6"/>
  <c r="L375" i="6"/>
  <c r="H375" i="6"/>
  <c r="B359" i="6"/>
  <c r="C358" i="6" s="1"/>
  <c r="C359" i="6" s="1"/>
  <c r="D358" i="6" s="1"/>
  <c r="D359" i="6" s="1"/>
  <c r="E358" i="6" s="1"/>
  <c r="E359" i="6" s="1"/>
  <c r="F358" i="6" s="1"/>
  <c r="F359" i="6" s="1"/>
  <c r="G358" i="6" s="1"/>
  <c r="G359" i="6" s="1"/>
  <c r="H358" i="6" s="1"/>
  <c r="H359" i="6" s="1"/>
  <c r="I358" i="6" s="1"/>
  <c r="I359" i="6" s="1"/>
  <c r="J358" i="6" s="1"/>
  <c r="J359" i="6" s="1"/>
  <c r="K358" i="6" s="1"/>
  <c r="K359" i="6" s="1"/>
  <c r="L358" i="6" s="1"/>
  <c r="L359" i="6" s="1"/>
  <c r="M358" i="6" s="1"/>
  <c r="B362" i="6"/>
  <c r="H376" i="6"/>
  <c r="B377" i="6"/>
  <c r="B317" i="6"/>
  <c r="J376" i="6"/>
  <c r="J375" i="6"/>
  <c r="K362" i="6"/>
  <c r="I362" i="6"/>
  <c r="G362" i="6"/>
  <c r="E362" i="6"/>
  <c r="D362" i="6"/>
  <c r="H362" i="6"/>
  <c r="M357" i="6"/>
  <c r="L361" i="6"/>
  <c r="L362" i="6" s="1"/>
  <c r="J362" i="6"/>
  <c r="F362" i="6"/>
  <c r="C362" i="6"/>
  <c r="B347" i="6"/>
  <c r="B344" i="6"/>
  <c r="C343" i="6" s="1"/>
  <c r="C344" i="6" s="1"/>
  <c r="D343" i="6" s="1"/>
  <c r="D344" i="6" s="1"/>
  <c r="E343" i="6" s="1"/>
  <c r="E344" i="6" s="1"/>
  <c r="F343" i="6" s="1"/>
  <c r="F344" i="6" s="1"/>
  <c r="G343" i="6" s="1"/>
  <c r="G344" i="6" s="1"/>
  <c r="H343" i="6" s="1"/>
  <c r="H344" i="6" s="1"/>
  <c r="I343" i="6" s="1"/>
  <c r="H347" i="6"/>
  <c r="C347" i="6"/>
  <c r="F347" i="6"/>
  <c r="G347" i="6"/>
  <c r="E347" i="6"/>
  <c r="D347" i="6"/>
  <c r="J342" i="6"/>
  <c r="I345" i="6"/>
  <c r="I347" i="6" s="1"/>
  <c r="K285" i="6"/>
  <c r="N332" i="6"/>
  <c r="D287" i="6"/>
  <c r="I285" i="6"/>
  <c r="K286" i="6"/>
  <c r="H285" i="6"/>
  <c r="C332" i="6"/>
  <c r="L285" i="6"/>
  <c r="G332" i="6"/>
  <c r="K332" i="6"/>
  <c r="E332" i="6"/>
  <c r="L332" i="6"/>
  <c r="M285" i="6"/>
  <c r="J332" i="6"/>
  <c r="I332" i="6"/>
  <c r="B332" i="6"/>
  <c r="C328" i="6"/>
  <c r="C329" i="6" s="1"/>
  <c r="D328" i="6" s="1"/>
  <c r="D329" i="6" s="1"/>
  <c r="E328" i="6" s="1"/>
  <c r="E329" i="6" s="1"/>
  <c r="F328" i="6" s="1"/>
  <c r="F329" i="6" s="1"/>
  <c r="G328" i="6" s="1"/>
  <c r="G329" i="6" s="1"/>
  <c r="H328" i="6" s="1"/>
  <c r="H329" i="6" s="1"/>
  <c r="I328" i="6" s="1"/>
  <c r="I329" i="6" s="1"/>
  <c r="J328" i="6" s="1"/>
  <c r="J329" i="6" s="1"/>
  <c r="K328" i="6" s="1"/>
  <c r="K329" i="6" s="1"/>
  <c r="L328" i="6" s="1"/>
  <c r="L329" i="6" s="1"/>
  <c r="M328" i="6" s="1"/>
  <c r="M329" i="6" s="1"/>
  <c r="N328" i="6" s="1"/>
  <c r="N329" i="6" s="1"/>
  <c r="O328" i="6" s="1"/>
  <c r="O329" i="6" s="1"/>
  <c r="P328" i="6" s="1"/>
  <c r="H332" i="6"/>
  <c r="H286" i="6"/>
  <c r="C317" i="6"/>
  <c r="N286" i="6"/>
  <c r="O285" i="6"/>
  <c r="F332" i="6"/>
  <c r="D332" i="6"/>
  <c r="O331" i="6"/>
  <c r="O332" i="6" s="1"/>
  <c r="P327" i="6"/>
  <c r="B314" i="6"/>
  <c r="C313" i="6" s="1"/>
  <c r="C314" i="6" s="1"/>
  <c r="D313" i="6" s="1"/>
  <c r="D314" i="6" s="1"/>
  <c r="E313" i="6" s="1"/>
  <c r="I312" i="6"/>
  <c r="H315" i="6"/>
  <c r="F315" i="6"/>
  <c r="H316" i="6"/>
  <c r="E316" i="6"/>
  <c r="G315" i="6"/>
  <c r="F316" i="6"/>
  <c r="E315" i="6"/>
  <c r="O286" i="6"/>
  <c r="D317" i="6"/>
  <c r="G316" i="6"/>
  <c r="N285" i="6"/>
  <c r="B287" i="6"/>
  <c r="M286" i="6"/>
  <c r="F287" i="6"/>
  <c r="C287" i="6"/>
  <c r="E287" i="6"/>
  <c r="G287" i="6"/>
  <c r="P286" i="6"/>
  <c r="P287" i="6" s="1"/>
  <c r="Q282" i="6"/>
  <c r="J285" i="6"/>
  <c r="I286" i="6"/>
  <c r="L286" i="6"/>
  <c r="B284" i="6"/>
  <c r="C283" i="6" s="1"/>
  <c r="C284" i="6" s="1"/>
  <c r="D283" i="6" s="1"/>
  <c r="D284" i="6" s="1"/>
  <c r="E283" i="6" s="1"/>
  <c r="E284" i="6" s="1"/>
  <c r="F283" i="6" s="1"/>
  <c r="F284" i="6" s="1"/>
  <c r="G283" i="6" s="1"/>
  <c r="G284" i="6" s="1"/>
  <c r="H283" i="6" s="1"/>
  <c r="E297" i="6"/>
  <c r="E267" i="6"/>
  <c r="F387" i="6" l="1"/>
  <c r="E391" i="6"/>
  <c r="E390" i="6"/>
  <c r="J377" i="6"/>
  <c r="K377" i="6"/>
  <c r="L377" i="6"/>
  <c r="M377" i="6"/>
  <c r="C373" i="6"/>
  <c r="C374" i="6" s="1"/>
  <c r="D373" i="6" s="1"/>
  <c r="D374" i="6" s="1"/>
  <c r="E373" i="6" s="1"/>
  <c r="E374" i="6" s="1"/>
  <c r="F373" i="6" s="1"/>
  <c r="F374" i="6" s="1"/>
  <c r="G373" i="6" s="1"/>
  <c r="G374" i="6" s="1"/>
  <c r="H373" i="6" s="1"/>
  <c r="H374" i="6" s="1"/>
  <c r="I373" i="6" s="1"/>
  <c r="I374" i="6" s="1"/>
  <c r="J373" i="6" s="1"/>
  <c r="J374" i="6" s="1"/>
  <c r="K373" i="6" s="1"/>
  <c r="K374" i="6" s="1"/>
  <c r="L373" i="6" s="1"/>
  <c r="L374" i="6" s="1"/>
  <c r="M373" i="6" s="1"/>
  <c r="M374" i="6" s="1"/>
  <c r="N373" i="6" s="1"/>
  <c r="I377" i="6"/>
  <c r="H377" i="6"/>
  <c r="O372" i="6"/>
  <c r="N375" i="6"/>
  <c r="N376" i="6"/>
  <c r="N357" i="6"/>
  <c r="M360" i="6"/>
  <c r="M361" i="6"/>
  <c r="K287" i="6"/>
  <c r="I344" i="6"/>
  <c r="J343" i="6" s="1"/>
  <c r="J345" i="6"/>
  <c r="K342" i="6"/>
  <c r="J346" i="6"/>
  <c r="H287" i="6"/>
  <c r="M287" i="6"/>
  <c r="H284" i="6"/>
  <c r="I283" i="6" s="1"/>
  <c r="I284" i="6" s="1"/>
  <c r="J283" i="6" s="1"/>
  <c r="J284" i="6" s="1"/>
  <c r="K283" i="6" s="1"/>
  <c r="K284" i="6" s="1"/>
  <c r="L283" i="6" s="1"/>
  <c r="L284" i="6" s="1"/>
  <c r="M283" i="6" s="1"/>
  <c r="M284" i="6" s="1"/>
  <c r="N283" i="6" s="1"/>
  <c r="N284" i="6" s="1"/>
  <c r="O283" i="6" s="1"/>
  <c r="O284" i="6" s="1"/>
  <c r="P283" i="6" s="1"/>
  <c r="P284" i="6" s="1"/>
  <c r="Q283" i="6" s="1"/>
  <c r="L287" i="6"/>
  <c r="I287" i="6"/>
  <c r="J287" i="6"/>
  <c r="O287" i="6"/>
  <c r="N287" i="6"/>
  <c r="Q327" i="6"/>
  <c r="P331" i="6"/>
  <c r="P330" i="6"/>
  <c r="E317" i="6"/>
  <c r="G317" i="6"/>
  <c r="F317" i="6"/>
  <c r="H317" i="6"/>
  <c r="J312" i="6"/>
  <c r="I315" i="6"/>
  <c r="I316" i="6"/>
  <c r="E314" i="6"/>
  <c r="F313" i="6" s="1"/>
  <c r="F314" i="6" s="1"/>
  <c r="G313" i="6" s="1"/>
  <c r="G314" i="6" s="1"/>
  <c r="H313" i="6" s="1"/>
  <c r="H314" i="6" s="1"/>
  <c r="I313" i="6" s="1"/>
  <c r="R282" i="6"/>
  <c r="Q286" i="6"/>
  <c r="Q285" i="6"/>
  <c r="F297" i="6"/>
  <c r="F267" i="6"/>
  <c r="E392" i="6" l="1"/>
  <c r="F391" i="6"/>
  <c r="G387" i="6"/>
  <c r="F390" i="6"/>
  <c r="E389" i="6"/>
  <c r="F388" i="6" s="1"/>
  <c r="F389" i="6" s="1"/>
  <c r="G388" i="6" s="1"/>
  <c r="N377" i="6"/>
  <c r="P372" i="6"/>
  <c r="O375" i="6"/>
  <c r="O376" i="6"/>
  <c r="N374" i="6"/>
  <c r="O373" i="6" s="1"/>
  <c r="O374" i="6" s="1"/>
  <c r="P373" i="6" s="1"/>
  <c r="M362" i="6"/>
  <c r="M359" i="6"/>
  <c r="N358" i="6" s="1"/>
  <c r="O357" i="6"/>
  <c r="N360" i="6"/>
  <c r="N361" i="6"/>
  <c r="J344" i="6"/>
  <c r="K343" i="6" s="1"/>
  <c r="L342" i="6"/>
  <c r="K345" i="6"/>
  <c r="K346" i="6"/>
  <c r="J347" i="6"/>
  <c r="P332" i="6"/>
  <c r="R327" i="6"/>
  <c r="Q331" i="6"/>
  <c r="Q330" i="6"/>
  <c r="P329" i="6"/>
  <c r="Q328" i="6" s="1"/>
  <c r="I317" i="6"/>
  <c r="K312" i="6"/>
  <c r="J315" i="6"/>
  <c r="I314" i="6"/>
  <c r="J313" i="6" s="1"/>
  <c r="Q284" i="6"/>
  <c r="R283" i="6" s="1"/>
  <c r="Q287" i="6"/>
  <c r="S282" i="6"/>
  <c r="R285" i="6"/>
  <c r="R286" i="6"/>
  <c r="G297" i="6"/>
  <c r="G267" i="6"/>
  <c r="F392" i="6" l="1"/>
  <c r="G390" i="6"/>
  <c r="H387" i="6"/>
  <c r="G391" i="6"/>
  <c r="N359" i="6"/>
  <c r="O358" i="6" s="1"/>
  <c r="O377" i="6"/>
  <c r="Q372" i="6"/>
  <c r="P376" i="6"/>
  <c r="P375" i="6"/>
  <c r="P374" i="6" s="1"/>
  <c r="Q373" i="6" s="1"/>
  <c r="P357" i="6"/>
  <c r="O360" i="6"/>
  <c r="O361" i="6"/>
  <c r="N362" i="6"/>
  <c r="K347" i="6"/>
  <c r="M342" i="6"/>
  <c r="L346" i="6"/>
  <c r="L345" i="6"/>
  <c r="K344" i="6"/>
  <c r="L343" i="6" s="1"/>
  <c r="Q329" i="6"/>
  <c r="R328" i="6" s="1"/>
  <c r="Q332" i="6"/>
  <c r="S327" i="6"/>
  <c r="R330" i="6"/>
  <c r="R331" i="6"/>
  <c r="J317" i="6"/>
  <c r="L312" i="6"/>
  <c r="K316" i="6"/>
  <c r="K315" i="6"/>
  <c r="J314" i="6"/>
  <c r="K313" i="6" s="1"/>
  <c r="R287" i="6"/>
  <c r="T282" i="6"/>
  <c r="S285" i="6"/>
  <c r="S286" i="6"/>
  <c r="R284" i="6"/>
  <c r="S283" i="6" s="1"/>
  <c r="H297" i="6"/>
  <c r="H267" i="6"/>
  <c r="I387" i="6" l="1"/>
  <c r="H390" i="6"/>
  <c r="H391" i="6"/>
  <c r="G392" i="6"/>
  <c r="G389" i="6"/>
  <c r="H388" i="6" s="1"/>
  <c r="O359" i="6"/>
  <c r="P358" i="6" s="1"/>
  <c r="P377" i="6"/>
  <c r="L344" i="6"/>
  <c r="M343" i="6" s="1"/>
  <c r="R372" i="6"/>
  <c r="Q376" i="6"/>
  <c r="Q375" i="6"/>
  <c r="K314" i="6"/>
  <c r="L313" i="6" s="1"/>
  <c r="O362" i="6"/>
  <c r="Q357" i="6"/>
  <c r="P360" i="6"/>
  <c r="P361" i="6"/>
  <c r="L347" i="6"/>
  <c r="N342" i="6"/>
  <c r="M345" i="6"/>
  <c r="M346" i="6"/>
  <c r="R329" i="6"/>
  <c r="S328" i="6" s="1"/>
  <c r="T327" i="6"/>
  <c r="S331" i="6"/>
  <c r="S330" i="6"/>
  <c r="S284" i="6"/>
  <c r="T283" i="6" s="1"/>
  <c r="R332" i="6"/>
  <c r="M312" i="6"/>
  <c r="L315" i="6"/>
  <c r="L316" i="6"/>
  <c r="K317" i="6"/>
  <c r="S287" i="6"/>
  <c r="U282" i="6"/>
  <c r="T286" i="6"/>
  <c r="T285" i="6"/>
  <c r="I297" i="6"/>
  <c r="I267" i="6"/>
  <c r="H392" i="6" l="1"/>
  <c r="H389" i="6"/>
  <c r="I388" i="6" s="1"/>
  <c r="I390" i="6"/>
  <c r="J387" i="6"/>
  <c r="I391" i="6"/>
  <c r="S329" i="6"/>
  <c r="T328" i="6" s="1"/>
  <c r="M344" i="6"/>
  <c r="N343" i="6" s="1"/>
  <c r="Q377" i="6"/>
  <c r="Q374" i="6"/>
  <c r="R373" i="6" s="1"/>
  <c r="S372" i="6"/>
  <c r="R376" i="6"/>
  <c r="R375" i="6"/>
  <c r="R377" i="6" s="1"/>
  <c r="P362" i="6"/>
  <c r="R357" i="6"/>
  <c r="Q360" i="6"/>
  <c r="Q361" i="6"/>
  <c r="P359" i="6"/>
  <c r="Q358" i="6" s="1"/>
  <c r="M347" i="6"/>
  <c r="O342" i="6"/>
  <c r="N346" i="6"/>
  <c r="N345" i="6"/>
  <c r="S332" i="6"/>
  <c r="U327" i="6"/>
  <c r="T331" i="6"/>
  <c r="T330" i="6"/>
  <c r="L317" i="6"/>
  <c r="N312" i="6"/>
  <c r="M316" i="6"/>
  <c r="M315" i="6"/>
  <c r="L314" i="6"/>
  <c r="M313" i="6" s="1"/>
  <c r="T287" i="6"/>
  <c r="V282" i="6"/>
  <c r="U285" i="6"/>
  <c r="U286" i="6"/>
  <c r="T284" i="6"/>
  <c r="U283" i="6" s="1"/>
  <c r="J297" i="6"/>
  <c r="J267" i="6"/>
  <c r="I389" i="6" l="1"/>
  <c r="J388" i="6" s="1"/>
  <c r="K387" i="6"/>
  <c r="J390" i="6"/>
  <c r="J391" i="6"/>
  <c r="I392" i="6"/>
  <c r="Q359" i="6"/>
  <c r="R358" i="6" s="1"/>
  <c r="R374" i="6"/>
  <c r="S373" i="6" s="1"/>
  <c r="S375" i="6"/>
  <c r="T372" i="6"/>
  <c r="S376" i="6"/>
  <c r="Q362" i="6"/>
  <c r="S357" i="6"/>
  <c r="R360" i="6"/>
  <c r="R361" i="6"/>
  <c r="N347" i="6"/>
  <c r="P342" i="6"/>
  <c r="O346" i="6"/>
  <c r="O345" i="6"/>
  <c r="N344" i="6"/>
  <c r="O343" i="6" s="1"/>
  <c r="T332" i="6"/>
  <c r="U284" i="6"/>
  <c r="V283" i="6" s="1"/>
  <c r="V327" i="6"/>
  <c r="U330" i="6"/>
  <c r="U331" i="6"/>
  <c r="T329" i="6"/>
  <c r="U328" i="6" s="1"/>
  <c r="M314" i="6"/>
  <c r="N313" i="6" s="1"/>
  <c r="M317" i="6"/>
  <c r="N316" i="6"/>
  <c r="O312" i="6"/>
  <c r="N315" i="6"/>
  <c r="U287" i="6"/>
  <c r="W282" i="6"/>
  <c r="V286" i="6"/>
  <c r="V285" i="6"/>
  <c r="K297" i="6"/>
  <c r="K267" i="6"/>
  <c r="J389" i="6" l="1"/>
  <c r="K388" i="6" s="1"/>
  <c r="J392" i="6"/>
  <c r="L387" i="6"/>
  <c r="K390" i="6"/>
  <c r="K391" i="6"/>
  <c r="O344" i="6"/>
  <c r="P343" i="6" s="1"/>
  <c r="R359" i="6"/>
  <c r="S358" i="6" s="1"/>
  <c r="S377" i="6"/>
  <c r="S374" i="6"/>
  <c r="T373" i="6" s="1"/>
  <c r="U372" i="6"/>
  <c r="T375" i="6"/>
  <c r="T376" i="6"/>
  <c r="T357" i="6"/>
  <c r="S361" i="6"/>
  <c r="S360" i="6"/>
  <c r="U329" i="6"/>
  <c r="V328" i="6" s="1"/>
  <c r="R362" i="6"/>
  <c r="O347" i="6"/>
  <c r="Q342" i="6"/>
  <c r="P346" i="6"/>
  <c r="P345" i="6"/>
  <c r="N317" i="6"/>
  <c r="V287" i="6"/>
  <c r="U332" i="6"/>
  <c r="W327" i="6"/>
  <c r="V330" i="6"/>
  <c r="V331" i="6"/>
  <c r="O316" i="6"/>
  <c r="P312" i="6"/>
  <c r="O315" i="6"/>
  <c r="N314" i="6"/>
  <c r="O313" i="6" s="1"/>
  <c r="X282" i="6"/>
  <c r="W285" i="6"/>
  <c r="W286" i="6"/>
  <c r="V284" i="6"/>
  <c r="W283" i="6" s="1"/>
  <c r="L297" i="6"/>
  <c r="L267" i="6"/>
  <c r="K392" i="6" l="1"/>
  <c r="M387" i="6"/>
  <c r="L390" i="6"/>
  <c r="L391" i="6"/>
  <c r="K389" i="6"/>
  <c r="L388" i="6" s="1"/>
  <c r="P347" i="6"/>
  <c r="O314" i="6"/>
  <c r="P313" i="6" s="1"/>
  <c r="S359" i="6"/>
  <c r="T358" i="6" s="1"/>
  <c r="S362" i="6"/>
  <c r="T377" i="6"/>
  <c r="V372" i="6"/>
  <c r="U376" i="6"/>
  <c r="U375" i="6"/>
  <c r="T374" i="6"/>
  <c r="U373" i="6" s="1"/>
  <c r="V329" i="6"/>
  <c r="W328" i="6" s="1"/>
  <c r="U357" i="6"/>
  <c r="T360" i="6"/>
  <c r="T361" i="6"/>
  <c r="R342" i="6"/>
  <c r="Q345" i="6"/>
  <c r="Q346" i="6"/>
  <c r="P344" i="6"/>
  <c r="Q343" i="6" s="1"/>
  <c r="V332" i="6"/>
  <c r="X327" i="6"/>
  <c r="W331" i="6"/>
  <c r="W330" i="6"/>
  <c r="O317" i="6"/>
  <c r="P316" i="6"/>
  <c r="Q312" i="6"/>
  <c r="P315" i="6"/>
  <c r="W284" i="6"/>
  <c r="X283" i="6" s="1"/>
  <c r="W287" i="6"/>
  <c r="Y282" i="6"/>
  <c r="X285" i="6"/>
  <c r="X286" i="6"/>
  <c r="M297" i="6"/>
  <c r="M267" i="6"/>
  <c r="L389" i="6" l="1"/>
  <c r="M388" i="6" s="1"/>
  <c r="L392" i="6"/>
  <c r="M391" i="6"/>
  <c r="N387" i="6"/>
  <c r="M390" i="6"/>
  <c r="M392" i="6" s="1"/>
  <c r="U377" i="6"/>
  <c r="U374" i="6"/>
  <c r="V373" i="6" s="1"/>
  <c r="W372" i="6"/>
  <c r="V376" i="6"/>
  <c r="V375" i="6"/>
  <c r="Q344" i="6"/>
  <c r="R343" i="6" s="1"/>
  <c r="T362" i="6"/>
  <c r="V357" i="6"/>
  <c r="U360" i="6"/>
  <c r="U361" i="6"/>
  <c r="T359" i="6"/>
  <c r="U358" i="6" s="1"/>
  <c r="Q347" i="6"/>
  <c r="S342" i="6"/>
  <c r="R346" i="6"/>
  <c r="R345" i="6"/>
  <c r="W332" i="6"/>
  <c r="W329" i="6"/>
  <c r="X328" i="6" s="1"/>
  <c r="Y327" i="6"/>
  <c r="X330" i="6"/>
  <c r="X331" i="6"/>
  <c r="P317" i="6"/>
  <c r="R312" i="6"/>
  <c r="Q316" i="6"/>
  <c r="Q315" i="6"/>
  <c r="P314" i="6"/>
  <c r="Q313" i="6" s="1"/>
  <c r="X287" i="6"/>
  <c r="Z282" i="6"/>
  <c r="Y285" i="6"/>
  <c r="Y286" i="6"/>
  <c r="X284" i="6"/>
  <c r="Y283" i="6" s="1"/>
  <c r="N297" i="6"/>
  <c r="N267" i="6"/>
  <c r="O387" i="6" l="1"/>
  <c r="N391" i="6"/>
  <c r="N390" i="6"/>
  <c r="M389" i="6"/>
  <c r="N388" i="6" s="1"/>
  <c r="N389" i="6" s="1"/>
  <c r="O388" i="6" s="1"/>
  <c r="Q314" i="6"/>
  <c r="R313" i="6" s="1"/>
  <c r="U359" i="6"/>
  <c r="V358" i="6" s="1"/>
  <c r="V377" i="6"/>
  <c r="X372" i="6"/>
  <c r="W375" i="6"/>
  <c r="W376" i="6"/>
  <c r="V374" i="6"/>
  <c r="W373" i="6" s="1"/>
  <c r="W374" i="6" s="1"/>
  <c r="X373" i="6" s="1"/>
  <c r="U362" i="6"/>
  <c r="W357" i="6"/>
  <c r="V361" i="6"/>
  <c r="V360" i="6"/>
  <c r="R347" i="6"/>
  <c r="T342" i="6"/>
  <c r="S346" i="6"/>
  <c r="S345" i="6"/>
  <c r="R344" i="6"/>
  <c r="S343" i="6" s="1"/>
  <c r="X329" i="6"/>
  <c r="Y328" i="6" s="1"/>
  <c r="X332" i="6"/>
  <c r="Y284" i="6"/>
  <c r="Z283" i="6" s="1"/>
  <c r="Z327" i="6"/>
  <c r="Y331" i="6"/>
  <c r="Y330" i="6"/>
  <c r="Q317" i="6"/>
  <c r="S312" i="6"/>
  <c r="R316" i="6"/>
  <c r="R315" i="6"/>
  <c r="Y287" i="6"/>
  <c r="AA282" i="6"/>
  <c r="Z286" i="6"/>
  <c r="Z285" i="6"/>
  <c r="O297" i="6"/>
  <c r="O267" i="6"/>
  <c r="N392" i="6" l="1"/>
  <c r="P387" i="6"/>
  <c r="O390" i="6"/>
  <c r="O391" i="6"/>
  <c r="Z287" i="6"/>
  <c r="V362" i="6"/>
  <c r="W377" i="6"/>
  <c r="S344" i="6"/>
  <c r="T343" i="6" s="1"/>
  <c r="Y372" i="6"/>
  <c r="X375" i="6"/>
  <c r="X376" i="6"/>
  <c r="X357" i="6"/>
  <c r="W361" i="6"/>
  <c r="W360" i="6"/>
  <c r="V359" i="6"/>
  <c r="W358" i="6" s="1"/>
  <c r="S347" i="6"/>
  <c r="R317" i="6"/>
  <c r="U342" i="6"/>
  <c r="T345" i="6"/>
  <c r="T346" i="6"/>
  <c r="Y332" i="6"/>
  <c r="Y329" i="6"/>
  <c r="Z328" i="6" s="1"/>
  <c r="Z331" i="6"/>
  <c r="AA327" i="6"/>
  <c r="Z330" i="6"/>
  <c r="T312" i="6"/>
  <c r="S316" i="6"/>
  <c r="S315" i="6"/>
  <c r="R314" i="6"/>
  <c r="S313" i="6" s="1"/>
  <c r="AB282" i="6"/>
  <c r="AA285" i="6"/>
  <c r="AA286" i="6"/>
  <c r="Z284" i="6"/>
  <c r="AA283" i="6" s="1"/>
  <c r="P297" i="6"/>
  <c r="P267" i="6"/>
  <c r="W359" i="6" l="1"/>
  <c r="X358" i="6" s="1"/>
  <c r="O392" i="6"/>
  <c r="P391" i="6"/>
  <c r="Q387" i="6"/>
  <c r="P390" i="6"/>
  <c r="P392" i="6" s="1"/>
  <c r="O389" i="6"/>
  <c r="P388" i="6" s="1"/>
  <c r="P389" i="6" s="1"/>
  <c r="Q388" i="6" s="1"/>
  <c r="S314" i="6"/>
  <c r="T313" i="6" s="1"/>
  <c r="W362" i="6"/>
  <c r="X377" i="6"/>
  <c r="Z372" i="6"/>
  <c r="Y376" i="6"/>
  <c r="Y375" i="6"/>
  <c r="Y377" i="6" s="1"/>
  <c r="X374" i="6"/>
  <c r="Y373" i="6" s="1"/>
  <c r="Y357" i="6"/>
  <c r="X360" i="6"/>
  <c r="X361" i="6"/>
  <c r="Z332" i="6"/>
  <c r="V342" i="6"/>
  <c r="U345" i="6"/>
  <c r="U346" i="6"/>
  <c r="T347" i="6"/>
  <c r="Z329" i="6"/>
  <c r="AA328" i="6" s="1"/>
  <c r="T344" i="6"/>
  <c r="U343" i="6" s="1"/>
  <c r="AB327" i="6"/>
  <c r="AA331" i="6"/>
  <c r="AA330" i="6"/>
  <c r="S317" i="6"/>
  <c r="U312" i="6"/>
  <c r="T316" i="6"/>
  <c r="T315" i="6"/>
  <c r="AA284" i="6"/>
  <c r="AB283" i="6" s="1"/>
  <c r="AA287" i="6"/>
  <c r="AC282" i="6"/>
  <c r="AB286" i="6"/>
  <c r="AB285" i="6"/>
  <c r="Q297" i="6"/>
  <c r="Q267" i="6"/>
  <c r="Y374" i="6" l="1"/>
  <c r="Z373" i="6" s="1"/>
  <c r="Q391" i="6"/>
  <c r="R387" i="6"/>
  <c r="Q390" i="6"/>
  <c r="Q389" i="6" s="1"/>
  <c r="R388" i="6" s="1"/>
  <c r="AA332" i="6"/>
  <c r="U344" i="6"/>
  <c r="V343" i="6" s="1"/>
  <c r="AA372" i="6"/>
  <c r="Z375" i="6"/>
  <c r="Z376" i="6"/>
  <c r="X362" i="6"/>
  <c r="Z357" i="6"/>
  <c r="Y361" i="6"/>
  <c r="Y360" i="6"/>
  <c r="X359" i="6"/>
  <c r="Y358" i="6" s="1"/>
  <c r="U347" i="6"/>
  <c r="T317" i="6"/>
  <c r="V345" i="6"/>
  <c r="W342" i="6"/>
  <c r="V346" i="6"/>
  <c r="AA329" i="6"/>
  <c r="AB328" i="6" s="1"/>
  <c r="AC327" i="6"/>
  <c r="AB330" i="6"/>
  <c r="AB331" i="6"/>
  <c r="V312" i="6"/>
  <c r="U316" i="6"/>
  <c r="U315" i="6"/>
  <c r="T314" i="6"/>
  <c r="U313" i="6" s="1"/>
  <c r="AB287" i="6"/>
  <c r="AD282" i="6"/>
  <c r="AC285" i="6"/>
  <c r="AC286" i="6"/>
  <c r="AB284" i="6"/>
  <c r="AC283" i="6" s="1"/>
  <c r="R297" i="6"/>
  <c r="R267" i="6"/>
  <c r="Q392" i="6" l="1"/>
  <c r="U314" i="6"/>
  <c r="V313" i="6" s="1"/>
  <c r="R391" i="6"/>
  <c r="S387" i="6"/>
  <c r="R390" i="6"/>
  <c r="R392" i="6" s="1"/>
  <c r="Y359" i="6"/>
  <c r="Z358" i="6" s="1"/>
  <c r="Z377" i="6"/>
  <c r="AB372" i="6"/>
  <c r="AA376" i="6"/>
  <c r="AA375" i="6"/>
  <c r="Z374" i="6"/>
  <c r="AA373" i="6" s="1"/>
  <c r="AA374" i="6" s="1"/>
  <c r="AB373" i="6" s="1"/>
  <c r="Y362" i="6"/>
  <c r="AA357" i="6"/>
  <c r="Z360" i="6"/>
  <c r="Z361" i="6"/>
  <c r="X342" i="6"/>
  <c r="W346" i="6"/>
  <c r="W345" i="6"/>
  <c r="V347" i="6"/>
  <c r="U317" i="6"/>
  <c r="V344" i="6"/>
  <c r="W343" i="6" s="1"/>
  <c r="AB332" i="6"/>
  <c r="AD327" i="6"/>
  <c r="AC331" i="6"/>
  <c r="AC330" i="6"/>
  <c r="AC284" i="6"/>
  <c r="AD283" i="6" s="1"/>
  <c r="AB329" i="6"/>
  <c r="AC328" i="6" s="1"/>
  <c r="W312" i="6"/>
  <c r="V315" i="6"/>
  <c r="V316" i="6"/>
  <c r="AC287" i="6"/>
  <c r="AE282" i="6"/>
  <c r="AD285" i="6"/>
  <c r="AD286" i="6"/>
  <c r="S297" i="6"/>
  <c r="S267" i="6"/>
  <c r="R389" i="6" l="1"/>
  <c r="S388" i="6" s="1"/>
  <c r="S390" i="6"/>
  <c r="T387" i="6"/>
  <c r="S391" i="6"/>
  <c r="AC332" i="6"/>
  <c r="AA377" i="6"/>
  <c r="W344" i="6"/>
  <c r="X343" i="6" s="1"/>
  <c r="AC372" i="6"/>
  <c r="AB376" i="6"/>
  <c r="AB375" i="6"/>
  <c r="AB377" i="6" s="1"/>
  <c r="AB357" i="6"/>
  <c r="AA361" i="6"/>
  <c r="AA360" i="6"/>
  <c r="Z362" i="6"/>
  <c r="Z359" i="6"/>
  <c r="AA358" i="6" s="1"/>
  <c r="W347" i="6"/>
  <c r="Y342" i="6"/>
  <c r="X346" i="6"/>
  <c r="X345" i="6"/>
  <c r="AC329" i="6"/>
  <c r="AD328" i="6" s="1"/>
  <c r="AE327" i="6"/>
  <c r="AD331" i="6"/>
  <c r="AD330" i="6"/>
  <c r="X312" i="6"/>
  <c r="W316" i="6"/>
  <c r="W315" i="6"/>
  <c r="V317" i="6"/>
  <c r="V314" i="6"/>
  <c r="W313" i="6" s="1"/>
  <c r="AD287" i="6"/>
  <c r="AE285" i="6"/>
  <c r="AE286" i="6"/>
  <c r="AD284" i="6"/>
  <c r="AE283" i="6" s="1"/>
  <c r="T297" i="6"/>
  <c r="T267" i="6"/>
  <c r="S389" i="6" l="1"/>
  <c r="T388" i="6" s="1"/>
  <c r="AA362" i="6"/>
  <c r="T390" i="6"/>
  <c r="U387" i="6"/>
  <c r="T391" i="6"/>
  <c r="S392" i="6"/>
  <c r="X347" i="6"/>
  <c r="AA359" i="6"/>
  <c r="AB358" i="6" s="1"/>
  <c r="AD372" i="6"/>
  <c r="AC376" i="6"/>
  <c r="AC375" i="6"/>
  <c r="AC377" i="6" s="1"/>
  <c r="AB374" i="6"/>
  <c r="AC373" i="6" s="1"/>
  <c r="AC357" i="6"/>
  <c r="AB361" i="6"/>
  <c r="AB360" i="6"/>
  <c r="Z342" i="6"/>
  <c r="Y345" i="6"/>
  <c r="Y346" i="6"/>
  <c r="W314" i="6"/>
  <c r="X313" i="6" s="1"/>
  <c r="X344" i="6"/>
  <c r="Y343" i="6" s="1"/>
  <c r="AD332" i="6"/>
  <c r="AE331" i="6"/>
  <c r="AE330" i="6"/>
  <c r="AD329" i="6"/>
  <c r="AE328" i="6" s="1"/>
  <c r="W317" i="6"/>
  <c r="Y312" i="6"/>
  <c r="X316" i="6"/>
  <c r="X315" i="6"/>
  <c r="AE284" i="6"/>
  <c r="AE287" i="6"/>
  <c r="U297" i="6"/>
  <c r="U267" i="6"/>
  <c r="T389" i="6" l="1"/>
  <c r="U388" i="6" s="1"/>
  <c r="V387" i="6"/>
  <c r="U391" i="6"/>
  <c r="U390" i="6"/>
  <c r="T392" i="6"/>
  <c r="AC374" i="6"/>
  <c r="AD373" i="6" s="1"/>
  <c r="AB359" i="6"/>
  <c r="AC358" i="6" s="1"/>
  <c r="AB362" i="6"/>
  <c r="Y344" i="6"/>
  <c r="Z343" i="6" s="1"/>
  <c r="AE372" i="6"/>
  <c r="AD376" i="6"/>
  <c r="AD375" i="6"/>
  <c r="AD377" i="6" s="1"/>
  <c r="AE329" i="6"/>
  <c r="AD357" i="6"/>
  <c r="AC361" i="6"/>
  <c r="AC360" i="6"/>
  <c r="Y347" i="6"/>
  <c r="AA342" i="6"/>
  <c r="Z346" i="6"/>
  <c r="Z345" i="6"/>
  <c r="AE332" i="6"/>
  <c r="X317" i="6"/>
  <c r="Z312" i="6"/>
  <c r="Y316" i="6"/>
  <c r="Y315" i="6"/>
  <c r="X314" i="6"/>
  <c r="Y313" i="6" s="1"/>
  <c r="V297" i="6"/>
  <c r="V267" i="6"/>
  <c r="U392" i="6" l="1"/>
  <c r="V390" i="6"/>
  <c r="W387" i="6"/>
  <c r="V391" i="6"/>
  <c r="U389" i="6"/>
  <c r="V388" i="6" s="1"/>
  <c r="AE375" i="6"/>
  <c r="AE376" i="6"/>
  <c r="AD374" i="6"/>
  <c r="AE373" i="6" s="1"/>
  <c r="AC362" i="6"/>
  <c r="AC359" i="6"/>
  <c r="AD358" i="6" s="1"/>
  <c r="AE357" i="6"/>
  <c r="AD360" i="6"/>
  <c r="AD361" i="6"/>
  <c r="Y317" i="6"/>
  <c r="Z347" i="6"/>
  <c r="AB342" i="6"/>
  <c r="AA346" i="6"/>
  <c r="AA345" i="6"/>
  <c r="Z344" i="6"/>
  <c r="AA343" i="6" s="1"/>
  <c r="Y314" i="6"/>
  <c r="Z313" i="6" s="1"/>
  <c r="Z316" i="6"/>
  <c r="AA312" i="6"/>
  <c r="Z315" i="6"/>
  <c r="W297" i="6"/>
  <c r="W267" i="6"/>
  <c r="V389" i="6" l="1"/>
  <c r="W388" i="6" s="1"/>
  <c r="X387" i="6"/>
  <c r="W390" i="6"/>
  <c r="W391" i="6"/>
  <c r="V392" i="6"/>
  <c r="AE374" i="6"/>
  <c r="AA344" i="6"/>
  <c r="AB343" i="6" s="1"/>
  <c r="AE377" i="6"/>
  <c r="AD362" i="6"/>
  <c r="AE360" i="6"/>
  <c r="AE361" i="6"/>
  <c r="AD359" i="6"/>
  <c r="AE358" i="6" s="1"/>
  <c r="AA347" i="6"/>
  <c r="AC342" i="6"/>
  <c r="AB346" i="6"/>
  <c r="AB345" i="6"/>
  <c r="AB347" i="6" s="1"/>
  <c r="Z317" i="6"/>
  <c r="AA316" i="6"/>
  <c r="AB312" i="6"/>
  <c r="AA315" i="6"/>
  <c r="Z314" i="6"/>
  <c r="AA313" i="6" s="1"/>
  <c r="X297" i="6"/>
  <c r="X267" i="6"/>
  <c r="W389" i="6" l="1"/>
  <c r="X388" i="6" s="1"/>
  <c r="W392" i="6"/>
  <c r="Y387" i="6"/>
  <c r="X390" i="6"/>
  <c r="X391" i="6"/>
  <c r="AE359" i="6"/>
  <c r="AE362" i="6"/>
  <c r="AA314" i="6"/>
  <c r="AB313" i="6" s="1"/>
  <c r="AD342" i="6"/>
  <c r="AC345" i="6"/>
  <c r="AC346" i="6"/>
  <c r="AB344" i="6"/>
  <c r="AC343" i="6" s="1"/>
  <c r="AA317" i="6"/>
  <c r="AC312" i="6"/>
  <c r="AB315" i="6"/>
  <c r="AB316" i="6"/>
  <c r="Y297" i="6"/>
  <c r="Y267" i="6"/>
  <c r="X392" i="6" l="1"/>
  <c r="Y391" i="6"/>
  <c r="Z387" i="6"/>
  <c r="Y390" i="6"/>
  <c r="Y392" i="6" s="1"/>
  <c r="X389" i="6"/>
  <c r="Y388" i="6" s="1"/>
  <c r="Y389" i="6" s="1"/>
  <c r="Z388" i="6" s="1"/>
  <c r="AC344" i="6"/>
  <c r="AD343" i="6" s="1"/>
  <c r="AC347" i="6"/>
  <c r="AE342" i="6"/>
  <c r="AD346" i="6"/>
  <c r="AD345" i="6"/>
  <c r="AD347" i="6" s="1"/>
  <c r="AB317" i="6"/>
  <c r="AD312" i="6"/>
  <c r="AC315" i="6"/>
  <c r="AC316" i="6"/>
  <c r="AB314" i="6"/>
  <c r="AC313" i="6" s="1"/>
  <c r="Z297" i="6"/>
  <c r="Z267" i="6"/>
  <c r="AC314" i="6" l="1"/>
  <c r="AD313" i="6" s="1"/>
  <c r="Z391" i="6"/>
  <c r="AA387" i="6"/>
  <c r="Z390" i="6"/>
  <c r="AE346" i="6"/>
  <c r="AE345" i="6"/>
  <c r="AD344" i="6"/>
  <c r="AE343" i="6" s="1"/>
  <c r="AC317" i="6"/>
  <c r="AE312" i="6"/>
  <c r="AD316" i="6"/>
  <c r="AD315" i="6"/>
  <c r="AD317" i="6" s="1"/>
  <c r="AA297" i="6"/>
  <c r="AA267" i="6"/>
  <c r="Z392" i="6" l="1"/>
  <c r="AA390" i="6"/>
  <c r="AA391" i="6"/>
  <c r="AB387" i="6"/>
  <c r="Z389" i="6"/>
  <c r="AA388" i="6" s="1"/>
  <c r="AA389" i="6" s="1"/>
  <c r="AB388" i="6" s="1"/>
  <c r="AE347" i="6"/>
  <c r="AE344" i="6"/>
  <c r="AE316" i="6"/>
  <c r="AE315" i="6"/>
  <c r="AD314" i="6"/>
  <c r="AE313" i="6" s="1"/>
  <c r="AB297" i="6"/>
  <c r="AB267" i="6"/>
  <c r="AC387" i="6" l="1"/>
  <c r="AB391" i="6"/>
  <c r="AB390" i="6"/>
  <c r="AB392" i="6" s="1"/>
  <c r="AA392" i="6"/>
  <c r="AE314" i="6"/>
  <c r="AE317" i="6"/>
  <c r="AC297" i="6"/>
  <c r="AC267" i="6"/>
  <c r="AD387" i="6" l="1"/>
  <c r="AC391" i="6"/>
  <c r="AC390" i="6"/>
  <c r="AB389" i="6"/>
  <c r="AC388" i="6" s="1"/>
  <c r="AC389" i="6" s="1"/>
  <c r="AD388" i="6" s="1"/>
  <c r="AD297" i="6"/>
  <c r="AD267" i="6"/>
  <c r="AC392" i="6" l="1"/>
  <c r="AE387" i="6"/>
  <c r="AD391" i="6"/>
  <c r="AD390" i="6"/>
  <c r="AD392" i="6" s="1"/>
  <c r="AE297" i="6"/>
  <c r="AE267" i="6"/>
  <c r="AE390" i="6" l="1"/>
  <c r="AE391" i="6"/>
  <c r="AD389" i="6"/>
  <c r="AE388" i="6" s="1"/>
  <c r="AE389" i="6" s="1"/>
  <c r="AE392" i="6" l="1"/>
  <c r="B93" i="6" l="1"/>
  <c r="B92" i="6"/>
  <c r="B91" i="6"/>
  <c r="A88" i="6"/>
  <c r="B90" i="6"/>
  <c r="B98" i="6" s="1"/>
  <c r="C97" i="6"/>
  <c r="D97" i="6" s="1"/>
  <c r="A71" i="6"/>
  <c r="B76" i="6"/>
  <c r="B75" i="6"/>
  <c r="B74" i="6"/>
  <c r="B73" i="6"/>
  <c r="B81" i="6" s="1"/>
  <c r="C80" i="6"/>
  <c r="B59" i="6"/>
  <c r="B58" i="6"/>
  <c r="B57" i="6"/>
  <c r="B56" i="6"/>
  <c r="B64" i="6" s="1"/>
  <c r="A54" i="6"/>
  <c r="C63" i="6"/>
  <c r="D63" i="6" s="1"/>
  <c r="B42" i="6"/>
  <c r="B41" i="6"/>
  <c r="B40" i="6"/>
  <c r="B39" i="6"/>
  <c r="A37" i="6"/>
  <c r="C46" i="6"/>
  <c r="D46" i="6" s="1"/>
  <c r="B94" i="6" l="1"/>
  <c r="B95" i="6" s="1"/>
  <c r="C99" i="6"/>
  <c r="D98" i="6" s="1"/>
  <c r="D100" i="6" s="1"/>
  <c r="C101" i="6"/>
  <c r="B77" i="6"/>
  <c r="B78" i="6" s="1"/>
  <c r="E97" i="6"/>
  <c r="E101" i="6" s="1"/>
  <c r="D99" i="6"/>
  <c r="E98" i="6" s="1"/>
  <c r="D65" i="6"/>
  <c r="E64" i="6" s="1"/>
  <c r="C65" i="6"/>
  <c r="D64" i="6" s="1"/>
  <c r="D66" i="6" s="1"/>
  <c r="B60" i="6"/>
  <c r="B65" i="6" s="1"/>
  <c r="C64" i="6" s="1"/>
  <c r="D50" i="6"/>
  <c r="D67" i="6"/>
  <c r="C67" i="6"/>
  <c r="D101" i="6"/>
  <c r="C84" i="6"/>
  <c r="C82" i="6"/>
  <c r="D81" i="6" s="1"/>
  <c r="D80" i="6"/>
  <c r="D84" i="6" s="1"/>
  <c r="E63" i="6"/>
  <c r="E65" i="6" s="1"/>
  <c r="C48" i="6"/>
  <c r="D48" i="6"/>
  <c r="C50" i="6"/>
  <c r="E46" i="6"/>
  <c r="B47" i="6"/>
  <c r="B43" i="6"/>
  <c r="B44" i="6" s="1"/>
  <c r="B99" i="6" l="1"/>
  <c r="B100" i="6" s="1"/>
  <c r="B101" i="6" s="1"/>
  <c r="B82" i="6"/>
  <c r="C81" i="6" s="1"/>
  <c r="C83" i="6" s="1"/>
  <c r="C85" i="6" s="1"/>
  <c r="E99" i="6"/>
  <c r="F98" i="6" s="1"/>
  <c r="D68" i="6"/>
  <c r="E67" i="6"/>
  <c r="E66" i="6"/>
  <c r="B61" i="6"/>
  <c r="D82" i="6"/>
  <c r="E81" i="6" s="1"/>
  <c r="E50" i="6"/>
  <c r="D83" i="6"/>
  <c r="D85" i="6" s="1"/>
  <c r="D102" i="6"/>
  <c r="E100" i="6"/>
  <c r="E102" i="6" s="1"/>
  <c r="F97" i="6"/>
  <c r="E80" i="6"/>
  <c r="F63" i="6"/>
  <c r="F46" i="6"/>
  <c r="F64" i="6"/>
  <c r="E48" i="6"/>
  <c r="F47" i="6" s="1"/>
  <c r="B48" i="6"/>
  <c r="B49" i="6" s="1"/>
  <c r="B50" i="6" s="1"/>
  <c r="C98" i="6" l="1"/>
  <c r="C100" i="6" s="1"/>
  <c r="C102" i="6" s="1"/>
  <c r="B83" i="6"/>
  <c r="B84" i="6" s="1"/>
  <c r="B85" i="6" s="1"/>
  <c r="B67" i="6"/>
  <c r="B68" i="6" s="1"/>
  <c r="F67" i="6"/>
  <c r="F65" i="6"/>
  <c r="G64" i="6" s="1"/>
  <c r="F66" i="6"/>
  <c r="E83" i="6"/>
  <c r="E82" i="6"/>
  <c r="F81" i="6" s="1"/>
  <c r="G97" i="6"/>
  <c r="F101" i="6"/>
  <c r="F100" i="6"/>
  <c r="F99" i="6"/>
  <c r="G98" i="6" s="1"/>
  <c r="B102" i="6"/>
  <c r="E84" i="6"/>
  <c r="F80" i="6"/>
  <c r="F50" i="6"/>
  <c r="F49" i="6"/>
  <c r="F48" i="6"/>
  <c r="G63" i="6"/>
  <c r="G46" i="6"/>
  <c r="G50" i="6" s="1"/>
  <c r="F102" i="6" l="1"/>
  <c r="F51" i="6"/>
  <c r="G65" i="6"/>
  <c r="H64" i="6" s="1"/>
  <c r="G66" i="6"/>
  <c r="G67" i="6"/>
  <c r="H97" i="6"/>
  <c r="G101" i="6"/>
  <c r="G100" i="6"/>
  <c r="G99" i="6"/>
  <c r="H98" i="6" s="1"/>
  <c r="E85" i="6"/>
  <c r="F84" i="6"/>
  <c r="F82" i="6"/>
  <c r="G81" i="6" s="1"/>
  <c r="G80" i="6"/>
  <c r="F83" i="6"/>
  <c r="H63" i="6"/>
  <c r="H46" i="6"/>
  <c r="G48" i="6"/>
  <c r="G102" i="6" l="1"/>
  <c r="H66" i="6"/>
  <c r="H65" i="6"/>
  <c r="I64" i="6" s="1"/>
  <c r="H67" i="6"/>
  <c r="I97" i="6"/>
  <c r="H101" i="6"/>
  <c r="H100" i="6"/>
  <c r="H99" i="6"/>
  <c r="I98" i="6" s="1"/>
  <c r="F85" i="6"/>
  <c r="G84" i="6"/>
  <c r="G82" i="6"/>
  <c r="H81" i="6" s="1"/>
  <c r="H80" i="6"/>
  <c r="G83" i="6"/>
  <c r="H50" i="6"/>
  <c r="I63" i="6"/>
  <c r="I46" i="6"/>
  <c r="H48" i="6"/>
  <c r="G85" i="6" l="1"/>
  <c r="H102" i="6"/>
  <c r="I66" i="6"/>
  <c r="I67" i="6"/>
  <c r="I65" i="6"/>
  <c r="J64" i="6" s="1"/>
  <c r="J97" i="6"/>
  <c r="I99" i="6"/>
  <c r="J98" i="6" s="1"/>
  <c r="I101" i="6"/>
  <c r="I100" i="6"/>
  <c r="I80" i="6"/>
  <c r="H83" i="6"/>
  <c r="H82" i="6"/>
  <c r="I81" i="6" s="1"/>
  <c r="H84" i="6"/>
  <c r="I50" i="6"/>
  <c r="J63" i="6"/>
  <c r="J46" i="6"/>
  <c r="I48" i="6"/>
  <c r="I102" i="6" l="1"/>
  <c r="K97" i="6"/>
  <c r="K99" i="6" s="1"/>
  <c r="J100" i="6"/>
  <c r="J101" i="6"/>
  <c r="J99" i="6"/>
  <c r="K98" i="6" s="1"/>
  <c r="J65" i="6"/>
  <c r="K64" i="6" s="1"/>
  <c r="J66" i="6"/>
  <c r="J67" i="6"/>
  <c r="J80" i="6"/>
  <c r="I82" i="6"/>
  <c r="J81" i="6" s="1"/>
  <c r="I83" i="6"/>
  <c r="I84" i="6"/>
  <c r="H85" i="6"/>
  <c r="J50" i="6"/>
  <c r="K63" i="6"/>
  <c r="K46" i="6"/>
  <c r="J48" i="6"/>
  <c r="J83" i="6" l="1"/>
  <c r="J102" i="6"/>
  <c r="L97" i="6"/>
  <c r="K100" i="6"/>
  <c r="K101" i="6"/>
  <c r="L98" i="6"/>
  <c r="K67" i="6"/>
  <c r="K66" i="6"/>
  <c r="K65" i="6"/>
  <c r="L64" i="6" s="1"/>
  <c r="I85" i="6"/>
  <c r="K80" i="6"/>
  <c r="J84" i="6"/>
  <c r="J82" i="6"/>
  <c r="K81" i="6" s="1"/>
  <c r="K50" i="6"/>
  <c r="L63" i="6"/>
  <c r="L46" i="6"/>
  <c r="K48" i="6"/>
  <c r="K102" i="6" l="1"/>
  <c r="L67" i="6"/>
  <c r="L66" i="6"/>
  <c r="L65" i="6"/>
  <c r="M64" i="6" s="1"/>
  <c r="M97" i="6"/>
  <c r="L100" i="6"/>
  <c r="L99" i="6"/>
  <c r="M98" i="6" s="1"/>
  <c r="L101" i="6"/>
  <c r="J85" i="6"/>
  <c r="L80" i="6"/>
  <c r="K83" i="6"/>
  <c r="K84" i="6"/>
  <c r="K82" i="6"/>
  <c r="L81" i="6" s="1"/>
  <c r="L50" i="6"/>
  <c r="M63" i="6"/>
  <c r="M46" i="6"/>
  <c r="L48" i="6"/>
  <c r="L84" i="6" l="1"/>
  <c r="L83" i="6"/>
  <c r="L102" i="6"/>
  <c r="N97" i="6"/>
  <c r="M101" i="6"/>
  <c r="M99" i="6"/>
  <c r="N98" i="6" s="1"/>
  <c r="M100" i="6"/>
  <c r="M67" i="6"/>
  <c r="M66" i="6"/>
  <c r="M65" i="6"/>
  <c r="N64" i="6" s="1"/>
  <c r="K85" i="6"/>
  <c r="M80" i="6"/>
  <c r="L82" i="6"/>
  <c r="M81" i="6" s="1"/>
  <c r="M50" i="6"/>
  <c r="N63" i="6"/>
  <c r="N46" i="6"/>
  <c r="M48" i="6"/>
  <c r="M102" i="6" l="1"/>
  <c r="L85" i="6"/>
  <c r="O97" i="6"/>
  <c r="N101" i="6"/>
  <c r="N100" i="6"/>
  <c r="N99" i="6"/>
  <c r="O98" i="6" s="1"/>
  <c r="N66" i="6"/>
  <c r="N65" i="6"/>
  <c r="O64" i="6" s="1"/>
  <c r="N67" i="6"/>
  <c r="M84" i="6"/>
  <c r="N80" i="6"/>
  <c r="M82" i="6"/>
  <c r="N81" i="6" s="1"/>
  <c r="M83" i="6"/>
  <c r="N50" i="6"/>
  <c r="O63" i="6"/>
  <c r="O46" i="6"/>
  <c r="N48" i="6"/>
  <c r="N102" i="6" l="1"/>
  <c r="O66" i="6"/>
  <c r="O65" i="6"/>
  <c r="P64" i="6" s="1"/>
  <c r="O67" i="6"/>
  <c r="P97" i="6"/>
  <c r="O99" i="6"/>
  <c r="P98" i="6" s="1"/>
  <c r="O100" i="6"/>
  <c r="O101" i="6"/>
  <c r="M85" i="6"/>
  <c r="N82" i="6"/>
  <c r="O81" i="6" s="1"/>
  <c r="N84" i="6"/>
  <c r="O80" i="6"/>
  <c r="N83" i="6"/>
  <c r="O50" i="6"/>
  <c r="P63" i="6"/>
  <c r="P46" i="6"/>
  <c r="O48" i="6"/>
  <c r="N85" i="6" l="1"/>
  <c r="O102" i="6"/>
  <c r="P99" i="6"/>
  <c r="Q98" i="6" s="1"/>
  <c r="Q97" i="6"/>
  <c r="P101" i="6"/>
  <c r="P100" i="6"/>
  <c r="P66" i="6"/>
  <c r="P67" i="6"/>
  <c r="P65" i="6"/>
  <c r="Q64" i="6" s="1"/>
  <c r="O82" i="6"/>
  <c r="P81" i="6" s="1"/>
  <c r="O84" i="6"/>
  <c r="P80" i="6"/>
  <c r="O83" i="6"/>
  <c r="P50" i="6"/>
  <c r="Q63" i="6"/>
  <c r="Q46" i="6"/>
  <c r="P48" i="6"/>
  <c r="P102" i="6" l="1"/>
  <c r="O85" i="6"/>
  <c r="Q99" i="6"/>
  <c r="R98" i="6" s="1"/>
  <c r="R97" i="6"/>
  <c r="Q100" i="6"/>
  <c r="Q101" i="6"/>
  <c r="Q67" i="6"/>
  <c r="Q65" i="6"/>
  <c r="R64" i="6" s="1"/>
  <c r="Q66" i="6"/>
  <c r="Q80" i="6"/>
  <c r="P83" i="6"/>
  <c r="P84" i="6"/>
  <c r="P82" i="6"/>
  <c r="Q81" i="6" s="1"/>
  <c r="Q50" i="6"/>
  <c r="R63" i="6"/>
  <c r="R46" i="6"/>
  <c r="Q48" i="6"/>
  <c r="Q102" i="6" l="1"/>
  <c r="S97" i="6"/>
  <c r="R101" i="6"/>
  <c r="R99" i="6"/>
  <c r="S98" i="6" s="1"/>
  <c r="R100" i="6"/>
  <c r="R65" i="6"/>
  <c r="S64" i="6" s="1"/>
  <c r="R66" i="6"/>
  <c r="R67" i="6"/>
  <c r="P85" i="6"/>
  <c r="Q84" i="6"/>
  <c r="Q83" i="6"/>
  <c r="R80" i="6"/>
  <c r="Q82" i="6"/>
  <c r="R81" i="6" s="1"/>
  <c r="R50" i="6"/>
  <c r="S63" i="6"/>
  <c r="S46" i="6"/>
  <c r="R48" i="6"/>
  <c r="Q85" i="6" l="1"/>
  <c r="R102" i="6"/>
  <c r="S66" i="6"/>
  <c r="S67" i="6"/>
  <c r="S65" i="6"/>
  <c r="T64" i="6" s="1"/>
  <c r="T97" i="6"/>
  <c r="S101" i="6"/>
  <c r="S99" i="6"/>
  <c r="T98" i="6" s="1"/>
  <c r="S100" i="6"/>
  <c r="S102" i="6" s="1"/>
  <c r="R84" i="6"/>
  <c r="R83" i="6"/>
  <c r="R82" i="6"/>
  <c r="S81" i="6" s="1"/>
  <c r="S80" i="6"/>
  <c r="S50" i="6"/>
  <c r="T63" i="6"/>
  <c r="T46" i="6"/>
  <c r="S48" i="6"/>
  <c r="U97" i="6" l="1"/>
  <c r="T101" i="6"/>
  <c r="T99" i="6"/>
  <c r="U98" i="6" s="1"/>
  <c r="T100" i="6"/>
  <c r="T67" i="6"/>
  <c r="T66" i="6"/>
  <c r="T65" i="6"/>
  <c r="U64" i="6" s="1"/>
  <c r="S84" i="6"/>
  <c r="S83" i="6"/>
  <c r="S85" i="6" s="1"/>
  <c r="S82" i="6"/>
  <c r="T81" i="6" s="1"/>
  <c r="T80" i="6"/>
  <c r="R85" i="6"/>
  <c r="T50" i="6"/>
  <c r="U63" i="6"/>
  <c r="U46" i="6"/>
  <c r="T48" i="6"/>
  <c r="T102" i="6" l="1"/>
  <c r="U66" i="6"/>
  <c r="U67" i="6"/>
  <c r="U65" i="6"/>
  <c r="V64" i="6" s="1"/>
  <c r="V97" i="6"/>
  <c r="U99" i="6"/>
  <c r="V98" i="6" s="1"/>
  <c r="U101" i="6"/>
  <c r="U100" i="6"/>
  <c r="U80" i="6"/>
  <c r="T82" i="6"/>
  <c r="U81" i="6" s="1"/>
  <c r="T83" i="6"/>
  <c r="T84" i="6"/>
  <c r="U50" i="6"/>
  <c r="V63" i="6"/>
  <c r="V46" i="6"/>
  <c r="U48" i="6"/>
  <c r="U102" i="6" l="1"/>
  <c r="W97" i="6"/>
  <c r="V99" i="6"/>
  <c r="W98" i="6" s="1"/>
  <c r="V100" i="6"/>
  <c r="V101" i="6"/>
  <c r="V67" i="6"/>
  <c r="V65" i="6"/>
  <c r="W64" i="6" s="1"/>
  <c r="V66" i="6"/>
  <c r="T85" i="6"/>
  <c r="V80" i="6"/>
  <c r="U82" i="6"/>
  <c r="V81" i="6" s="1"/>
  <c r="U83" i="6"/>
  <c r="U84" i="6"/>
  <c r="V50" i="6"/>
  <c r="W63" i="6"/>
  <c r="W46" i="6"/>
  <c r="V48" i="6"/>
  <c r="V102" i="6" l="1"/>
  <c r="W66" i="6"/>
  <c r="W67" i="6"/>
  <c r="W65" i="6"/>
  <c r="X64" i="6" s="1"/>
  <c r="W100" i="6"/>
  <c r="X97" i="6"/>
  <c r="W101" i="6"/>
  <c r="W99" i="6"/>
  <c r="X98" i="6" s="1"/>
  <c r="U85" i="6"/>
  <c r="W80" i="6"/>
  <c r="V83" i="6"/>
  <c r="V82" i="6"/>
  <c r="W81" i="6" s="1"/>
  <c r="V84" i="6"/>
  <c r="W50" i="6"/>
  <c r="X63" i="6"/>
  <c r="X46" i="6"/>
  <c r="W48" i="6"/>
  <c r="X100" i="6" l="1"/>
  <c r="Y97" i="6"/>
  <c r="X99" i="6"/>
  <c r="Y98" i="6" s="1"/>
  <c r="X101" i="6"/>
  <c r="W102" i="6"/>
  <c r="X65" i="6"/>
  <c r="Y64" i="6" s="1"/>
  <c r="X66" i="6"/>
  <c r="X67" i="6"/>
  <c r="V85" i="6"/>
  <c r="X80" i="6"/>
  <c r="W83" i="6"/>
  <c r="W82" i="6"/>
  <c r="X81" i="6" s="1"/>
  <c r="W84" i="6"/>
  <c r="X50" i="6"/>
  <c r="Y63" i="6"/>
  <c r="Y46" i="6"/>
  <c r="X48" i="6"/>
  <c r="Y67" i="6" l="1"/>
  <c r="Y65" i="6"/>
  <c r="Z64" i="6" s="1"/>
  <c r="Y66" i="6"/>
  <c r="Z97" i="6"/>
  <c r="Y100" i="6"/>
  <c r="Y99" i="6"/>
  <c r="Z98" i="6" s="1"/>
  <c r="Y101" i="6"/>
  <c r="X102" i="6"/>
  <c r="W85" i="6"/>
  <c r="Y80" i="6"/>
  <c r="X84" i="6"/>
  <c r="X82" i="6"/>
  <c r="Y81" i="6" s="1"/>
  <c r="X83" i="6"/>
  <c r="Y50" i="6"/>
  <c r="Z63" i="6"/>
  <c r="Z46" i="6"/>
  <c r="Y48" i="6"/>
  <c r="Y102" i="6" l="1"/>
  <c r="AA97" i="6"/>
  <c r="Z100" i="6"/>
  <c r="Z101" i="6"/>
  <c r="Z99" i="6"/>
  <c r="AA98" i="6" s="1"/>
  <c r="Z65" i="6"/>
  <c r="AA64" i="6" s="1"/>
  <c r="Z67" i="6"/>
  <c r="Z66" i="6"/>
  <c r="X85" i="6"/>
  <c r="Z80" i="6"/>
  <c r="Y84" i="6"/>
  <c r="Y82" i="6"/>
  <c r="Z81" i="6" s="1"/>
  <c r="Y83" i="6"/>
  <c r="Z50" i="6"/>
  <c r="AA63" i="6"/>
  <c r="AA46" i="6"/>
  <c r="Z48" i="6"/>
  <c r="AA67" i="6" l="1"/>
  <c r="AA66" i="6"/>
  <c r="AA65" i="6"/>
  <c r="AB64" i="6" s="1"/>
  <c r="Z102" i="6"/>
  <c r="AB97" i="6"/>
  <c r="AA100" i="6"/>
  <c r="AA101" i="6"/>
  <c r="AA99" i="6"/>
  <c r="AB98" i="6" s="1"/>
  <c r="Y85" i="6"/>
  <c r="Z82" i="6"/>
  <c r="AA81" i="6" s="1"/>
  <c r="AA80" i="6"/>
  <c r="Z84" i="6"/>
  <c r="Z83" i="6"/>
  <c r="AA50" i="6"/>
  <c r="AB63" i="6"/>
  <c r="AB46" i="6"/>
  <c r="AA48" i="6"/>
  <c r="AA102" i="6" l="1"/>
  <c r="AC97" i="6"/>
  <c r="AB100" i="6"/>
  <c r="AB101" i="6"/>
  <c r="AB99" i="6"/>
  <c r="AC98" i="6" s="1"/>
  <c r="AB66" i="6"/>
  <c r="AB65" i="6"/>
  <c r="AC64" i="6" s="1"/>
  <c r="AB67" i="6"/>
  <c r="Z85" i="6"/>
  <c r="AA82" i="6"/>
  <c r="AB81" i="6" s="1"/>
  <c r="AB80" i="6"/>
  <c r="AA83" i="6"/>
  <c r="AA84" i="6"/>
  <c r="AB50" i="6"/>
  <c r="AC63" i="6"/>
  <c r="AC46" i="6"/>
  <c r="AB48" i="6"/>
  <c r="AC65" i="6" l="1"/>
  <c r="AD64" i="6" s="1"/>
  <c r="AC67" i="6"/>
  <c r="AC66" i="6"/>
  <c r="AB102" i="6"/>
  <c r="AC100" i="6"/>
  <c r="AD97" i="6"/>
  <c r="AC99" i="6"/>
  <c r="AD98" i="6" s="1"/>
  <c r="AC101" i="6"/>
  <c r="AA85" i="6"/>
  <c r="AB84" i="6"/>
  <c r="AC80" i="6"/>
  <c r="AB83" i="6"/>
  <c r="AB85" i="6" s="1"/>
  <c r="AB82" i="6"/>
  <c r="AC81" i="6" s="1"/>
  <c r="AC50" i="6"/>
  <c r="AD63" i="6"/>
  <c r="AD46" i="6"/>
  <c r="AC48" i="6"/>
  <c r="AE97" i="6" l="1"/>
  <c r="AD99" i="6"/>
  <c r="AE98" i="6" s="1"/>
  <c r="AD100" i="6"/>
  <c r="AD101" i="6"/>
  <c r="AC102" i="6"/>
  <c r="AD66" i="6"/>
  <c r="AD67" i="6"/>
  <c r="AD65" i="6"/>
  <c r="AE64" i="6" s="1"/>
  <c r="AC84" i="6"/>
  <c r="AD80" i="6"/>
  <c r="AC83" i="6"/>
  <c r="AC82" i="6"/>
  <c r="AD81" i="6" s="1"/>
  <c r="AD50" i="6"/>
  <c r="AE63" i="6"/>
  <c r="AE46" i="6"/>
  <c r="AD48" i="6"/>
  <c r="AD102" i="6" l="1"/>
  <c r="AE67" i="6"/>
  <c r="AE66" i="6"/>
  <c r="AE65" i="6"/>
  <c r="AF64" i="6" s="1"/>
  <c r="AF97" i="6"/>
  <c r="AE101" i="6"/>
  <c r="AE99" i="6"/>
  <c r="AF98" i="6" s="1"/>
  <c r="AE100" i="6"/>
  <c r="AE102" i="6" s="1"/>
  <c r="AC85" i="6"/>
  <c r="AD84" i="6"/>
  <c r="AE80" i="6"/>
  <c r="AD83" i="6"/>
  <c r="AD82" i="6"/>
  <c r="AE81" i="6" s="1"/>
  <c r="AE50" i="6"/>
  <c r="AF63" i="6"/>
  <c r="AF46" i="6"/>
  <c r="AE48" i="6"/>
  <c r="AG97" i="6" l="1"/>
  <c r="AF101" i="6"/>
  <c r="AF99" i="6"/>
  <c r="AG98" i="6" s="1"/>
  <c r="AF100" i="6"/>
  <c r="AF65" i="6"/>
  <c r="AG64" i="6" s="1"/>
  <c r="AF67" i="6"/>
  <c r="AF66" i="6"/>
  <c r="AD85" i="6"/>
  <c r="AE84" i="6"/>
  <c r="AF80" i="6"/>
  <c r="AE83" i="6"/>
  <c r="AE82" i="6"/>
  <c r="AF81" i="6" s="1"/>
  <c r="AF50" i="6"/>
  <c r="AG63" i="6"/>
  <c r="AG46" i="6"/>
  <c r="AF48" i="6"/>
  <c r="AF102" i="6" l="1"/>
  <c r="AG66" i="6"/>
  <c r="AG65" i="6"/>
  <c r="AH64" i="6" s="1"/>
  <c r="AG67" i="6"/>
  <c r="AG101" i="6"/>
  <c r="AH97" i="6"/>
  <c r="AG100" i="6"/>
  <c r="AG102" i="6" s="1"/>
  <c r="AG99" i="6"/>
  <c r="AH98" i="6" s="1"/>
  <c r="AE85" i="6"/>
  <c r="AF83" i="6"/>
  <c r="AF82" i="6"/>
  <c r="AG81" i="6" s="1"/>
  <c r="AG80" i="6"/>
  <c r="AF84" i="6"/>
  <c r="AG50" i="6"/>
  <c r="AH63" i="6"/>
  <c r="AH46" i="6"/>
  <c r="AG48" i="6"/>
  <c r="AI97" i="6" l="1"/>
  <c r="AH101" i="6"/>
  <c r="AH99" i="6"/>
  <c r="AI98" i="6" s="1"/>
  <c r="AH100" i="6"/>
  <c r="AH66" i="6"/>
  <c r="AH65" i="6"/>
  <c r="AI64" i="6" s="1"/>
  <c r="AH67" i="6"/>
  <c r="AF85" i="6"/>
  <c r="AH80" i="6"/>
  <c r="AG83" i="6"/>
  <c r="AG82" i="6"/>
  <c r="AH81" i="6" s="1"/>
  <c r="AG84" i="6"/>
  <c r="AH50" i="6"/>
  <c r="AI63" i="6"/>
  <c r="AI46" i="6"/>
  <c r="AH48" i="6"/>
  <c r="AH102" i="6" l="1"/>
  <c r="AI67" i="6"/>
  <c r="AI65" i="6"/>
  <c r="AI66" i="6"/>
  <c r="AJ97" i="6"/>
  <c r="AI101" i="6"/>
  <c r="AI100" i="6"/>
  <c r="AI102" i="6" s="1"/>
  <c r="AI99" i="6"/>
  <c r="AJ98" i="6" s="1"/>
  <c r="AG85" i="6"/>
  <c r="AI80" i="6"/>
  <c r="AH83" i="6"/>
  <c r="AH84" i="6"/>
  <c r="AH82" i="6"/>
  <c r="AI81" i="6" s="1"/>
  <c r="AI50" i="6"/>
  <c r="AJ63" i="6"/>
  <c r="AJ46" i="6"/>
  <c r="AJ64" i="6"/>
  <c r="AI48" i="6"/>
  <c r="AK97" i="6" l="1"/>
  <c r="AJ101" i="6"/>
  <c r="AJ100" i="6"/>
  <c r="AJ99" i="6"/>
  <c r="AK98" i="6" s="1"/>
  <c r="AJ67" i="6"/>
  <c r="AJ65" i="6"/>
  <c r="AK64" i="6" s="1"/>
  <c r="AJ66" i="6"/>
  <c r="AH85" i="6"/>
  <c r="AJ80" i="6"/>
  <c r="AI83" i="6"/>
  <c r="AI84" i="6"/>
  <c r="AI82" i="6"/>
  <c r="AJ81" i="6" s="1"/>
  <c r="AJ50" i="6"/>
  <c r="AK63" i="6"/>
  <c r="AK46" i="6"/>
  <c r="AJ48" i="6"/>
  <c r="AJ102" i="6" l="1"/>
  <c r="AK66" i="6"/>
  <c r="AK65" i="6"/>
  <c r="AL64" i="6" s="1"/>
  <c r="AK67" i="6"/>
  <c r="AL97" i="6"/>
  <c r="AK101" i="6"/>
  <c r="AK99" i="6"/>
  <c r="AL98" i="6" s="1"/>
  <c r="AK100" i="6"/>
  <c r="AI85" i="6"/>
  <c r="AK80" i="6"/>
  <c r="AJ84" i="6"/>
  <c r="AJ82" i="6"/>
  <c r="AK81" i="6" s="1"/>
  <c r="AJ83" i="6"/>
  <c r="AK50" i="6"/>
  <c r="AL63" i="6"/>
  <c r="AL46" i="6"/>
  <c r="AK48" i="6"/>
  <c r="AJ85" i="6" l="1"/>
  <c r="AK102" i="6"/>
  <c r="AL99" i="6"/>
  <c r="AM98" i="6" s="1"/>
  <c r="AM97" i="6"/>
  <c r="AL100" i="6"/>
  <c r="AL101" i="6"/>
  <c r="AL66" i="6"/>
  <c r="AL65" i="6"/>
  <c r="AM64" i="6" s="1"/>
  <c r="AL67" i="6"/>
  <c r="AK84" i="6"/>
  <c r="AK82" i="6"/>
  <c r="AL81" i="6" s="1"/>
  <c r="AL80" i="6"/>
  <c r="AK83" i="6"/>
  <c r="AL50" i="6"/>
  <c r="AM63" i="6"/>
  <c r="AM46" i="6"/>
  <c r="AL48" i="6"/>
  <c r="AL102" i="6" l="1"/>
  <c r="AM99" i="6"/>
  <c r="AN98" i="6" s="1"/>
  <c r="AN97" i="6"/>
  <c r="AM100" i="6"/>
  <c r="AM101" i="6"/>
  <c r="AM66" i="6"/>
  <c r="AM65" i="6"/>
  <c r="AN64" i="6" s="1"/>
  <c r="AM67" i="6"/>
  <c r="AK85" i="6"/>
  <c r="AL82" i="6"/>
  <c r="AM81" i="6" s="1"/>
  <c r="AL83" i="6"/>
  <c r="AM80" i="6"/>
  <c r="AL84" i="6"/>
  <c r="AM50" i="6"/>
  <c r="AN63" i="6"/>
  <c r="AN46" i="6"/>
  <c r="AM48" i="6"/>
  <c r="AM102" i="6" l="1"/>
  <c r="AN67" i="6"/>
  <c r="AN66" i="6"/>
  <c r="AN65" i="6"/>
  <c r="AO64" i="6" s="1"/>
  <c r="AO97" i="6"/>
  <c r="AN99" i="6"/>
  <c r="AO98" i="6" s="1"/>
  <c r="AN101" i="6"/>
  <c r="AN100" i="6"/>
  <c r="AN102" i="6" s="1"/>
  <c r="AM82" i="6"/>
  <c r="AN81" i="6" s="1"/>
  <c r="AM83" i="6"/>
  <c r="AM84" i="6"/>
  <c r="AN80" i="6"/>
  <c r="AL85" i="6"/>
  <c r="AN50" i="6"/>
  <c r="AO63" i="6"/>
  <c r="AO46" i="6"/>
  <c r="AN48" i="6"/>
  <c r="AO100" i="6" l="1"/>
  <c r="AO101" i="6"/>
  <c r="AO99" i="6"/>
  <c r="AO67" i="6"/>
  <c r="AO65" i="6"/>
  <c r="AO66" i="6"/>
  <c r="AM85" i="6"/>
  <c r="AN84" i="6"/>
  <c r="AO80" i="6"/>
  <c r="AN83" i="6"/>
  <c r="AN82" i="6"/>
  <c r="AO81" i="6" s="1"/>
  <c r="AO50" i="6"/>
  <c r="AO48" i="6"/>
  <c r="AO102" i="6" l="1"/>
  <c r="AN85" i="6"/>
  <c r="AO84" i="6"/>
  <c r="AO83" i="6"/>
  <c r="AO82" i="6"/>
  <c r="AO85" i="6" l="1"/>
  <c r="C37" i="1" l="1"/>
  <c r="C38" i="1"/>
  <c r="C39" i="1"/>
  <c r="C40" i="1"/>
  <c r="C41" i="1"/>
  <c r="C42" i="1"/>
  <c r="C43" i="1"/>
  <c r="C24" i="1"/>
  <c r="C25" i="1"/>
  <c r="C26" i="1"/>
  <c r="C36" i="1"/>
  <c r="C51" i="1"/>
  <c r="B179" i="6"/>
  <c r="B22" i="6"/>
  <c r="C33" i="4"/>
  <c r="C35" i="4"/>
  <c r="F17" i="3"/>
  <c r="F18" i="3"/>
  <c r="F19" i="3"/>
  <c r="F16" i="3"/>
  <c r="E16" i="3"/>
  <c r="E17" i="3"/>
  <c r="E18" i="3"/>
  <c r="E19" i="3"/>
  <c r="E6" i="3"/>
  <c r="D17" i="3"/>
  <c r="D18" i="3"/>
  <c r="D19" i="3"/>
  <c r="G20" i="3"/>
  <c r="D16" i="3"/>
  <c r="C17" i="3"/>
  <c r="C18" i="3"/>
  <c r="C19" i="3"/>
  <c r="C16" i="3"/>
  <c r="C6" i="3"/>
  <c r="Q65" i="18"/>
  <c r="Q58" i="18"/>
  <c r="Q59" i="18"/>
  <c r="Q60" i="18"/>
  <c r="Q61" i="18"/>
  <c r="Q62" i="18"/>
  <c r="Q63" i="18"/>
  <c r="Q64" i="18"/>
  <c r="O58" i="18"/>
  <c r="O59" i="18"/>
  <c r="O60" i="18"/>
  <c r="O61" i="18"/>
  <c r="O62" i="18"/>
  <c r="O63" i="18"/>
  <c r="O64" i="18"/>
  <c r="O65" i="18"/>
  <c r="M58" i="18"/>
  <c r="M59" i="18"/>
  <c r="M60" i="18"/>
  <c r="M61" i="18"/>
  <c r="M62" i="18"/>
  <c r="M63" i="18"/>
  <c r="M64" i="18"/>
  <c r="M65" i="18"/>
  <c r="K58" i="18"/>
  <c r="K59" i="18"/>
  <c r="K60" i="18"/>
  <c r="K61" i="18"/>
  <c r="K62" i="18"/>
  <c r="K63" i="18"/>
  <c r="K64" i="18"/>
  <c r="K65" i="18"/>
  <c r="I58" i="18"/>
  <c r="I59" i="18"/>
  <c r="I60" i="18"/>
  <c r="I61" i="18"/>
  <c r="I62" i="18"/>
  <c r="I63" i="18"/>
  <c r="I64" i="18"/>
  <c r="I65" i="18"/>
  <c r="G65" i="18"/>
  <c r="G64" i="18"/>
  <c r="G63" i="18"/>
  <c r="G62" i="18"/>
  <c r="G61" i="18"/>
  <c r="G60" i="18"/>
  <c r="G59" i="18"/>
  <c r="G58" i="18"/>
  <c r="G78" i="18"/>
  <c r="E78" i="18" s="1"/>
  <c r="G79" i="18"/>
  <c r="E79" i="18" s="1"/>
  <c r="G80" i="18"/>
  <c r="E80" i="18" s="1"/>
  <c r="G81" i="18"/>
  <c r="E81" i="18" s="1"/>
  <c r="G82" i="18"/>
  <c r="E82" i="18" s="1"/>
  <c r="I78" i="18"/>
  <c r="I79" i="18"/>
  <c r="I80" i="18"/>
  <c r="I81" i="18"/>
  <c r="I82" i="18"/>
  <c r="K78" i="18"/>
  <c r="K79" i="18"/>
  <c r="K80" i="18"/>
  <c r="K81" i="18"/>
  <c r="K82" i="18"/>
  <c r="M78" i="18"/>
  <c r="M79" i="18"/>
  <c r="M80" i="18"/>
  <c r="M81" i="18"/>
  <c r="M82" i="18"/>
  <c r="O78" i="18"/>
  <c r="O79" i="18"/>
  <c r="O80" i="18"/>
  <c r="O81" i="18"/>
  <c r="O82" i="18"/>
  <c r="Q78" i="18"/>
  <c r="Q79" i="18"/>
  <c r="Q80" i="18"/>
  <c r="Q81" i="18"/>
  <c r="Q82" i="18"/>
  <c r="S78" i="18"/>
  <c r="S79" i="18"/>
  <c r="S80" i="18"/>
  <c r="S81" i="18"/>
  <c r="S82" i="18"/>
  <c r="U78" i="18"/>
  <c r="U79" i="18"/>
  <c r="U80" i="18"/>
  <c r="U81" i="18"/>
  <c r="U82" i="18"/>
  <c r="W78" i="18"/>
  <c r="W79" i="18"/>
  <c r="W80" i="18"/>
  <c r="W81" i="18"/>
  <c r="W82" i="18"/>
  <c r="Y78" i="18"/>
  <c r="Y79" i="18"/>
  <c r="Y80" i="18"/>
  <c r="Y81" i="18"/>
  <c r="Y82" i="18"/>
  <c r="G16" i="3" l="1"/>
  <c r="G19" i="3"/>
  <c r="G18" i="3"/>
  <c r="G17" i="3"/>
  <c r="B187" i="6"/>
  <c r="Y58" i="18" l="1"/>
  <c r="Y59" i="18"/>
  <c r="Y60" i="18"/>
  <c r="Y61" i="18"/>
  <c r="Y62" i="18"/>
  <c r="Y63" i="18"/>
  <c r="Y64" i="18"/>
  <c r="Y65" i="18"/>
  <c r="W58" i="18"/>
  <c r="W59" i="18"/>
  <c r="W60" i="18"/>
  <c r="W61" i="18"/>
  <c r="W62" i="18"/>
  <c r="W63" i="18"/>
  <c r="W64" i="18"/>
  <c r="W65" i="18"/>
  <c r="I49" i="18"/>
  <c r="I50" i="18"/>
  <c r="I51" i="18"/>
  <c r="I52" i="18"/>
  <c r="K49" i="18"/>
  <c r="K50" i="18"/>
  <c r="K51" i="18"/>
  <c r="K52" i="18"/>
  <c r="M49" i="18"/>
  <c r="M50" i="18"/>
  <c r="M51" i="18"/>
  <c r="M52" i="18"/>
  <c r="O49" i="18"/>
  <c r="O50" i="18"/>
  <c r="O51" i="18"/>
  <c r="O52" i="18"/>
  <c r="Q49" i="18"/>
  <c r="Q50" i="18"/>
  <c r="Q51" i="18"/>
  <c r="Q52" i="18"/>
  <c r="S49" i="18"/>
  <c r="S50" i="18"/>
  <c r="S51" i="18"/>
  <c r="S52" i="18"/>
  <c r="U49" i="18"/>
  <c r="U50" i="18"/>
  <c r="U51" i="18"/>
  <c r="U52" i="18"/>
  <c r="W49" i="18"/>
  <c r="W50" i="18"/>
  <c r="W51" i="18"/>
  <c r="W52" i="18"/>
  <c r="Y49" i="18"/>
  <c r="Y50" i="18"/>
  <c r="Y51" i="18"/>
  <c r="Y52" i="18"/>
  <c r="G49" i="18"/>
  <c r="G50" i="18"/>
  <c r="G51" i="18"/>
  <c r="G52" i="18"/>
  <c r="E52" i="18" l="1"/>
  <c r="E51" i="18"/>
  <c r="E50" i="18"/>
  <c r="E49" i="18"/>
  <c r="E64" i="18"/>
  <c r="Y27" i="18"/>
  <c r="Y28" i="18"/>
  <c r="Y29" i="18"/>
  <c r="Y30" i="18"/>
  <c r="Y31" i="18"/>
  <c r="Y32" i="18"/>
  <c r="W27" i="18"/>
  <c r="W28" i="18"/>
  <c r="W29" i="18"/>
  <c r="W30" i="18"/>
  <c r="W31" i="18"/>
  <c r="W32" i="18"/>
  <c r="U27" i="18"/>
  <c r="U28" i="18"/>
  <c r="U29" i="18"/>
  <c r="U30" i="18"/>
  <c r="U31" i="18"/>
  <c r="U32" i="18"/>
  <c r="S27" i="18"/>
  <c r="S28" i="18"/>
  <c r="S29" i="18"/>
  <c r="S30" i="18"/>
  <c r="S31" i="18"/>
  <c r="S32" i="18"/>
  <c r="Q26" i="18"/>
  <c r="Q27" i="18"/>
  <c r="Q28" i="18"/>
  <c r="Q29" i="18"/>
  <c r="Q30" i="18"/>
  <c r="Q31" i="18"/>
  <c r="Q32" i="18"/>
  <c r="P9" i="18"/>
  <c r="P10" i="18"/>
  <c r="P11" i="18"/>
  <c r="P12" i="18"/>
  <c r="N9" i="18"/>
  <c r="N10" i="18"/>
  <c r="N11" i="18"/>
  <c r="N12" i="18"/>
  <c r="L9" i="18"/>
  <c r="L10" i="18"/>
  <c r="L11" i="18"/>
  <c r="L12" i="18"/>
  <c r="H9" i="18"/>
  <c r="H10" i="18"/>
  <c r="H11" i="18"/>
  <c r="H12" i="18"/>
  <c r="X10" i="18"/>
  <c r="X11" i="18"/>
  <c r="X12" i="18"/>
  <c r="V10" i="18"/>
  <c r="V11" i="18"/>
  <c r="V12" i="18"/>
  <c r="T9" i="18"/>
  <c r="T10" i="18"/>
  <c r="T11" i="18"/>
  <c r="T12" i="18"/>
  <c r="R9" i="18"/>
  <c r="R10" i="18"/>
  <c r="R11" i="18"/>
  <c r="R12" i="18"/>
  <c r="J10" i="18"/>
  <c r="J11" i="18"/>
  <c r="J12" i="18"/>
  <c r="O27" i="18"/>
  <c r="O28" i="18"/>
  <c r="O29" i="18"/>
  <c r="O30" i="18"/>
  <c r="O31" i="18"/>
  <c r="O32" i="18"/>
  <c r="M27" i="18"/>
  <c r="M28" i="18"/>
  <c r="M29" i="18"/>
  <c r="M30" i="18"/>
  <c r="M31" i="18"/>
  <c r="M32" i="18"/>
  <c r="K27" i="18"/>
  <c r="K28" i="18"/>
  <c r="K29" i="18"/>
  <c r="K30" i="18"/>
  <c r="K31" i="18"/>
  <c r="K32" i="18"/>
  <c r="I27" i="18"/>
  <c r="I28" i="18"/>
  <c r="I29" i="18"/>
  <c r="I30" i="18"/>
  <c r="I31" i="18"/>
  <c r="I32" i="18"/>
  <c r="G27" i="18"/>
  <c r="E27" i="18" s="1"/>
  <c r="G28" i="18"/>
  <c r="G29" i="18"/>
  <c r="G30" i="18"/>
  <c r="G31" i="18"/>
  <c r="G32" i="18"/>
  <c r="F9" i="18"/>
  <c r="F10" i="18"/>
  <c r="F11" i="18"/>
  <c r="F12" i="18"/>
  <c r="D12" i="18" l="1"/>
  <c r="D11" i="18"/>
  <c r="D10" i="18"/>
  <c r="E32" i="18"/>
  <c r="E31" i="18"/>
  <c r="E30" i="18"/>
  <c r="E29" i="18"/>
  <c r="E28" i="18"/>
  <c r="Y55" i="18"/>
  <c r="Y57" i="18"/>
  <c r="Y37" i="18"/>
  <c r="Y38" i="18"/>
  <c r="Y39" i="18"/>
  <c r="Y40" i="18"/>
  <c r="Y41" i="18"/>
  <c r="Y42" i="18"/>
  <c r="Y43" i="18"/>
  <c r="Y44" i="18"/>
  <c r="Y45" i="18"/>
  <c r="Y46" i="18"/>
  <c r="Y47" i="18"/>
  <c r="Y48" i="18"/>
  <c r="W46" i="18"/>
  <c r="W55" i="18"/>
  <c r="W57" i="18"/>
  <c r="W37" i="18"/>
  <c r="W38" i="18"/>
  <c r="W39" i="18"/>
  <c r="W40" i="18"/>
  <c r="W41" i="18"/>
  <c r="W42" i="18"/>
  <c r="W43" i="18"/>
  <c r="W44" i="18"/>
  <c r="W45" i="18"/>
  <c r="W47" i="18"/>
  <c r="W48" i="18"/>
  <c r="U55" i="18"/>
  <c r="U57" i="18"/>
  <c r="U37" i="18"/>
  <c r="U38" i="18"/>
  <c r="U39" i="18"/>
  <c r="U40" i="18"/>
  <c r="U41" i="18"/>
  <c r="U42" i="18"/>
  <c r="U43" i="18"/>
  <c r="U44" i="18"/>
  <c r="U45" i="18"/>
  <c r="U46" i="18"/>
  <c r="U47" i="18"/>
  <c r="U48" i="18"/>
  <c r="S55" i="18"/>
  <c r="S57" i="18"/>
  <c r="S37" i="18"/>
  <c r="S38" i="18"/>
  <c r="S39" i="18"/>
  <c r="S40" i="18"/>
  <c r="S41" i="18"/>
  <c r="S42" i="18"/>
  <c r="S43" i="18"/>
  <c r="S44" i="18"/>
  <c r="S45" i="18"/>
  <c r="S46" i="18"/>
  <c r="S47" i="18"/>
  <c r="S48" i="18"/>
  <c r="Q55" i="18"/>
  <c r="Q57" i="18"/>
  <c r="Q37" i="18"/>
  <c r="Q38" i="18"/>
  <c r="Q39" i="18"/>
  <c r="Q40" i="18"/>
  <c r="Q41" i="18"/>
  <c r="Q42" i="18"/>
  <c r="Q43" i="18"/>
  <c r="Q44" i="18"/>
  <c r="Q45" i="18"/>
  <c r="Q46" i="18"/>
  <c r="Q47" i="18"/>
  <c r="Q48" i="18"/>
  <c r="O55" i="18"/>
  <c r="O57" i="18"/>
  <c r="O37" i="18"/>
  <c r="O38" i="18"/>
  <c r="O39" i="18"/>
  <c r="O40" i="18"/>
  <c r="O41" i="18"/>
  <c r="O42" i="18"/>
  <c r="O43" i="18"/>
  <c r="O44" i="18"/>
  <c r="O45" i="18"/>
  <c r="O46" i="18"/>
  <c r="O47" i="18"/>
  <c r="O48" i="18"/>
  <c r="M55" i="18"/>
  <c r="M57" i="18"/>
  <c r="M37" i="18"/>
  <c r="M38" i="18"/>
  <c r="M39" i="18"/>
  <c r="M40" i="18"/>
  <c r="M41" i="18"/>
  <c r="M42" i="18"/>
  <c r="M43" i="18"/>
  <c r="M44" i="18"/>
  <c r="M45" i="18"/>
  <c r="M46" i="18"/>
  <c r="M47" i="18"/>
  <c r="M48" i="18"/>
  <c r="K55" i="18"/>
  <c r="K57" i="18"/>
  <c r="K37" i="18"/>
  <c r="K38" i="18"/>
  <c r="K39" i="18"/>
  <c r="K40" i="18"/>
  <c r="K41" i="18"/>
  <c r="K42" i="18"/>
  <c r="K43" i="18"/>
  <c r="K44" i="18"/>
  <c r="K45" i="18"/>
  <c r="K46" i="18"/>
  <c r="K47" i="18"/>
  <c r="K48" i="18"/>
  <c r="I57" i="18"/>
  <c r="I55" i="18"/>
  <c r="I37" i="18"/>
  <c r="I38" i="18"/>
  <c r="I39" i="18"/>
  <c r="I40" i="18"/>
  <c r="I41" i="18"/>
  <c r="I42" i="18"/>
  <c r="I43" i="18"/>
  <c r="I44" i="18"/>
  <c r="I45" i="18"/>
  <c r="I46" i="18"/>
  <c r="I47" i="18"/>
  <c r="I48" i="18"/>
  <c r="I36" i="18"/>
  <c r="G55" i="18"/>
  <c r="G57" i="18"/>
  <c r="G38" i="18"/>
  <c r="G39" i="18"/>
  <c r="G40" i="18"/>
  <c r="G41" i="18"/>
  <c r="G42" i="18"/>
  <c r="E42" i="18" s="1"/>
  <c r="G43" i="18"/>
  <c r="E43" i="18" s="1"/>
  <c r="G44" i="18"/>
  <c r="G45" i="18"/>
  <c r="G46" i="18"/>
  <c r="G47" i="18"/>
  <c r="G48" i="18"/>
  <c r="G37" i="18"/>
  <c r="G36" i="18"/>
  <c r="C37" i="17"/>
  <c r="B67" i="18"/>
  <c r="C17" i="2"/>
  <c r="C18" i="2"/>
  <c r="F75" i="17"/>
  <c r="F66" i="17"/>
  <c r="E66" i="17"/>
  <c r="D66" i="17"/>
  <c r="C74" i="17"/>
  <c r="C73" i="17"/>
  <c r="C72" i="17"/>
  <c r="C71" i="17"/>
  <c r="C70" i="17"/>
  <c r="C69" i="17"/>
  <c r="C68" i="17"/>
  <c r="C47" i="17"/>
  <c r="C47" i="2" s="1"/>
  <c r="C38" i="17"/>
  <c r="C38" i="2" s="1"/>
  <c r="C39" i="17"/>
  <c r="C39" i="2" s="1"/>
  <c r="C40" i="17"/>
  <c r="C40" i="2" s="1"/>
  <c r="C41" i="17"/>
  <c r="C41" i="2" s="1"/>
  <c r="AR41" i="2" s="1"/>
  <c r="C42" i="17"/>
  <c r="C42" i="2" s="1"/>
  <c r="C43" i="17"/>
  <c r="C43" i="2" s="1"/>
  <c r="C44" i="17"/>
  <c r="C44" i="2" s="1"/>
  <c r="C45" i="17"/>
  <c r="C45" i="2" s="1"/>
  <c r="C46" i="17"/>
  <c r="C46" i="2" s="1"/>
  <c r="C48" i="17"/>
  <c r="C48" i="2" s="1"/>
  <c r="C49" i="17"/>
  <c r="C49" i="2" s="1"/>
  <c r="C50" i="17"/>
  <c r="C50" i="2" s="1"/>
  <c r="C51" i="17"/>
  <c r="C51" i="2" s="1"/>
  <c r="C52" i="17"/>
  <c r="C52" i="2" s="1"/>
  <c r="C53" i="17"/>
  <c r="C53" i="2" s="1"/>
  <c r="AR53" i="2" s="1"/>
  <c r="C54" i="17"/>
  <c r="C54" i="2" s="1"/>
  <c r="C55" i="17"/>
  <c r="C55" i="2" s="1"/>
  <c r="C56" i="17"/>
  <c r="C56" i="2" s="1"/>
  <c r="C57" i="17"/>
  <c r="C58" i="17"/>
  <c r="C59" i="17"/>
  <c r="C59" i="2" s="1"/>
  <c r="C60" i="17"/>
  <c r="C60" i="2" s="1"/>
  <c r="C61" i="17"/>
  <c r="C61" i="2" s="1"/>
  <c r="C62" i="17"/>
  <c r="C62" i="2" s="1"/>
  <c r="C63" i="17"/>
  <c r="C63" i="2" s="1"/>
  <c r="AR63" i="2" s="1"/>
  <c r="C64" i="17"/>
  <c r="C64" i="2" s="1"/>
  <c r="C65" i="17"/>
  <c r="C65" i="2" s="1"/>
  <c r="C28" i="17"/>
  <c r="C33" i="17" s="1"/>
  <c r="C34" i="17" s="1"/>
  <c r="C29" i="17"/>
  <c r="C30" i="17"/>
  <c r="C31" i="17"/>
  <c r="C32" i="17"/>
  <c r="D7" i="3"/>
  <c r="C57" i="2"/>
  <c r="C58" i="2"/>
  <c r="B65" i="2"/>
  <c r="B65" i="7" s="1"/>
  <c r="B64" i="2"/>
  <c r="B64" i="7" s="1"/>
  <c r="B63" i="2"/>
  <c r="B63" i="7" s="1"/>
  <c r="B62" i="2"/>
  <c r="B62" i="7" s="1"/>
  <c r="B61" i="2"/>
  <c r="B61" i="7" s="1"/>
  <c r="B60" i="2"/>
  <c r="B60" i="7" s="1"/>
  <c r="B59" i="2"/>
  <c r="B59" i="7" s="1"/>
  <c r="B58" i="2"/>
  <c r="B58" i="7" s="1"/>
  <c r="B57" i="2"/>
  <c r="B57" i="7" s="1"/>
  <c r="B56" i="2"/>
  <c r="B56" i="7" s="1"/>
  <c r="B55" i="2"/>
  <c r="B55" i="7" s="1"/>
  <c r="B54" i="2"/>
  <c r="B54" i="7" s="1"/>
  <c r="B53" i="2"/>
  <c r="B53" i="7" s="1"/>
  <c r="B52" i="2"/>
  <c r="B52" i="7" s="1"/>
  <c r="B51" i="2"/>
  <c r="B51" i="7" s="1"/>
  <c r="B50" i="2"/>
  <c r="B50" i="7" s="1"/>
  <c r="B49" i="2"/>
  <c r="B49" i="7" s="1"/>
  <c r="B48" i="2"/>
  <c r="B48" i="7" s="1"/>
  <c r="B47" i="2"/>
  <c r="B47" i="7" s="1"/>
  <c r="B46" i="2"/>
  <c r="B46" i="7" s="1"/>
  <c r="B45" i="2"/>
  <c r="B45" i="7" s="1"/>
  <c r="B44" i="2"/>
  <c r="B44" i="7" s="1"/>
  <c r="B43" i="2"/>
  <c r="B43" i="7" s="1"/>
  <c r="B42" i="2"/>
  <c r="B42" i="7" s="1"/>
  <c r="B41" i="2"/>
  <c r="B41" i="7" s="1"/>
  <c r="B40" i="2"/>
  <c r="B40" i="7" s="1"/>
  <c r="B39" i="2"/>
  <c r="B39" i="7" s="1"/>
  <c r="B38" i="2"/>
  <c r="B38" i="7" s="1"/>
  <c r="B37" i="2"/>
  <c r="B37" i="7" s="1"/>
  <c r="D39" i="7" l="1"/>
  <c r="AR39" i="2"/>
  <c r="D38" i="7"/>
  <c r="AR38" i="2"/>
  <c r="D62" i="7"/>
  <c r="AH62" i="7" s="1"/>
  <c r="AR62" i="2"/>
  <c r="D54" i="7"/>
  <c r="AR54" i="2"/>
  <c r="D47" i="7"/>
  <c r="AR47" i="2"/>
  <c r="D61" i="7"/>
  <c r="AH61" i="7" s="1"/>
  <c r="AR61" i="2"/>
  <c r="D44" i="7"/>
  <c r="AR44" i="2"/>
  <c r="D56" i="7"/>
  <c r="AH56" i="7" s="1"/>
  <c r="AR56" i="2"/>
  <c r="D60" i="7"/>
  <c r="AH60" i="7" s="1"/>
  <c r="AR60" i="2"/>
  <c r="D52" i="7"/>
  <c r="AR52" i="2"/>
  <c r="D43" i="7"/>
  <c r="AR43" i="2"/>
  <c r="D46" i="7"/>
  <c r="AR46" i="2"/>
  <c r="D59" i="7"/>
  <c r="AH59" i="7" s="1"/>
  <c r="AR59" i="2"/>
  <c r="D51" i="7"/>
  <c r="AR51" i="2"/>
  <c r="D42" i="7"/>
  <c r="AR42" i="2"/>
  <c r="D57" i="7"/>
  <c r="AH57" i="7" s="1"/>
  <c r="AR57" i="2"/>
  <c r="D64" i="7"/>
  <c r="AH64" i="7" s="1"/>
  <c r="AR64" i="2"/>
  <c r="D48" i="7"/>
  <c r="AR48" i="2"/>
  <c r="D55" i="7"/>
  <c r="AR55" i="2"/>
  <c r="D45" i="7"/>
  <c r="AR45" i="2"/>
  <c r="D50" i="7"/>
  <c r="AR50" i="2"/>
  <c r="D58" i="7"/>
  <c r="AH58" i="7" s="1"/>
  <c r="AR58" i="2"/>
  <c r="D65" i="7"/>
  <c r="AH65" i="7" s="1"/>
  <c r="AR65" i="2"/>
  <c r="D49" i="7"/>
  <c r="AR49" i="2"/>
  <c r="D40" i="7"/>
  <c r="AR40" i="2"/>
  <c r="E38" i="18"/>
  <c r="E40" i="18"/>
  <c r="E57" i="18"/>
  <c r="E41" i="18"/>
  <c r="E39" i="18"/>
  <c r="E37" i="18"/>
  <c r="E48" i="18"/>
  <c r="E55" i="18"/>
  <c r="E47" i="18"/>
  <c r="E46" i="18"/>
  <c r="E45" i="18"/>
  <c r="E44" i="18"/>
  <c r="D20" i="7"/>
  <c r="AR18" i="2"/>
  <c r="D19" i="7"/>
  <c r="AR17" i="2"/>
  <c r="B48" i="18"/>
  <c r="B55" i="18"/>
  <c r="B54" i="18"/>
  <c r="B43" i="18"/>
  <c r="C60" i="18"/>
  <c r="Z60" i="18" s="1"/>
  <c r="B47" i="18"/>
  <c r="B65" i="18"/>
  <c r="B64" i="18"/>
  <c r="B63" i="18"/>
  <c r="C47" i="18"/>
  <c r="B59" i="18"/>
  <c r="B57" i="18"/>
  <c r="B45" i="18"/>
  <c r="C44" i="18"/>
  <c r="B56" i="18"/>
  <c r="B44" i="18"/>
  <c r="B62" i="18"/>
  <c r="C38" i="18"/>
  <c r="B46" i="18"/>
  <c r="C41" i="18"/>
  <c r="D41" i="7"/>
  <c r="B61" i="18"/>
  <c r="B42" i="18"/>
  <c r="B60" i="18"/>
  <c r="C46" i="18"/>
  <c r="C53" i="18"/>
  <c r="D53" i="7"/>
  <c r="B53" i="18"/>
  <c r="B41" i="18"/>
  <c r="C62" i="18"/>
  <c r="B52" i="18"/>
  <c r="B40" i="18"/>
  <c r="B51" i="18"/>
  <c r="B39" i="18"/>
  <c r="C50" i="18"/>
  <c r="AA50" i="18" s="1"/>
  <c r="B50" i="18"/>
  <c r="C49" i="18"/>
  <c r="B58" i="18"/>
  <c r="C45" i="18"/>
  <c r="C63" i="18"/>
  <c r="D63" i="7"/>
  <c r="AH63" i="7" s="1"/>
  <c r="B38" i="18"/>
  <c r="B49" i="18"/>
  <c r="B37" i="18"/>
  <c r="C48" i="18"/>
  <c r="C40" i="18"/>
  <c r="C64" i="18"/>
  <c r="C52" i="18"/>
  <c r="C39" i="18"/>
  <c r="C51" i="18"/>
  <c r="C61" i="18"/>
  <c r="C59" i="18"/>
  <c r="C56" i="18"/>
  <c r="C43" i="18"/>
  <c r="C55" i="18"/>
  <c r="C42" i="18"/>
  <c r="C54" i="18"/>
  <c r="C57" i="18"/>
  <c r="C58" i="18"/>
  <c r="C65" i="18"/>
  <c r="C93" i="17"/>
  <c r="C37" i="2"/>
  <c r="D37" i="7" l="1"/>
  <c r="AR37" i="2"/>
  <c r="AE60" i="18"/>
  <c r="AA60" i="18"/>
  <c r="AE55" i="18"/>
  <c r="AA55" i="18"/>
  <c r="Z55" i="18"/>
  <c r="Z59" i="18"/>
  <c r="AA59" i="18"/>
  <c r="AE59" i="18"/>
  <c r="AE63" i="18"/>
  <c r="Z63" i="18"/>
  <c r="AA63" i="18"/>
  <c r="Z61" i="18"/>
  <c r="AA61" i="18"/>
  <c r="AE61" i="18"/>
  <c r="Z62" i="18"/>
  <c r="AA62" i="18"/>
  <c r="AE62" i="18"/>
  <c r="AE65" i="18"/>
  <c r="Z65" i="18"/>
  <c r="AA65" i="18"/>
  <c r="AA49" i="18"/>
  <c r="Z49" i="18"/>
  <c r="AA58" i="18"/>
  <c r="AE58" i="18"/>
  <c r="Z58" i="18"/>
  <c r="Z52" i="18"/>
  <c r="AA52" i="18"/>
  <c r="AE57" i="18"/>
  <c r="AA57" i="18"/>
  <c r="Z57" i="18"/>
  <c r="AE64" i="18"/>
  <c r="Z64" i="18"/>
  <c r="AA64" i="18"/>
  <c r="AA48" i="18"/>
  <c r="Z48" i="18"/>
  <c r="C37" i="18"/>
  <c r="F13" i="17" l="1"/>
  <c r="E13" i="17"/>
  <c r="D13" i="17"/>
  <c r="H3" i="2" l="1"/>
  <c r="C25" i="17"/>
  <c r="C21" i="19"/>
  <c r="AM7" i="9"/>
  <c r="X101" i="9"/>
  <c r="Y101" i="9"/>
  <c r="Z101" i="9"/>
  <c r="AA101" i="9"/>
  <c r="AB101" i="9"/>
  <c r="AC101" i="9"/>
  <c r="AD101" i="9"/>
  <c r="AE101" i="9"/>
  <c r="AF101" i="9"/>
  <c r="AG101" i="9"/>
  <c r="AH101" i="9"/>
  <c r="AJ101" i="9"/>
  <c r="AK101" i="9"/>
  <c r="W101" i="9"/>
  <c r="V101" i="9"/>
  <c r="R101" i="9"/>
  <c r="O101" i="9"/>
  <c r="P101" i="9"/>
  <c r="B101" i="9"/>
  <c r="M101" i="9"/>
  <c r="L101" i="9"/>
  <c r="K101" i="9"/>
  <c r="I101" i="9"/>
  <c r="H101" i="9"/>
  <c r="F101" i="9"/>
  <c r="E101" i="9"/>
  <c r="D101" i="9"/>
  <c r="C101" i="9"/>
  <c r="G101" i="9"/>
  <c r="G35" i="3"/>
  <c r="E28" i="19"/>
  <c r="D40" i="19"/>
  <c r="B40" i="19"/>
  <c r="D39" i="19"/>
  <c r="B39" i="19"/>
  <c r="D38" i="19"/>
  <c r="B38" i="19"/>
  <c r="D37" i="19"/>
  <c r="B37" i="19"/>
  <c r="D36" i="19"/>
  <c r="B36" i="19"/>
  <c r="D35" i="19"/>
  <c r="B35" i="19"/>
  <c r="D34" i="19"/>
  <c r="B34" i="19"/>
  <c r="G32" i="19"/>
  <c r="E30" i="19"/>
  <c r="G30" i="19" s="1"/>
  <c r="F22" i="19"/>
  <c r="C22" i="19" s="1"/>
  <c r="E32" i="19"/>
  <c r="B23" i="19"/>
  <c r="B16" i="19"/>
  <c r="C32" i="19"/>
  <c r="E24" i="19" a="1"/>
  <c r="E24" i="19" s="1"/>
  <c r="E23" i="19" a="1"/>
  <c r="E23" i="19" s="1"/>
  <c r="E21" i="19"/>
  <c r="E20" i="19"/>
  <c r="C23" i="19"/>
  <c r="C19" i="19"/>
  <c r="C20" i="19" s="1"/>
  <c r="C17" i="19"/>
  <c r="C15" i="19"/>
  <c r="C3" i="19"/>
  <c r="E3" i="19"/>
  <c r="C25" i="19" l="1"/>
  <c r="C24" i="19"/>
  <c r="G28" i="19"/>
  <c r="AD89" i="7" l="1"/>
  <c r="AE89" i="7"/>
  <c r="AF89" i="7"/>
  <c r="AG89" i="7"/>
  <c r="AC89" i="7"/>
  <c r="AD127" i="7"/>
  <c r="AD131" i="7" s="1"/>
  <c r="AD132" i="7" s="1"/>
  <c r="AE127" i="7"/>
  <c r="AF127" i="7"/>
  <c r="AF131" i="7" s="1"/>
  <c r="AF132" i="7" s="1"/>
  <c r="AG127" i="7"/>
  <c r="AC127" i="7"/>
  <c r="AG131" i="7" l="1"/>
  <c r="AG132" i="7" s="1"/>
  <c r="AE131" i="7"/>
  <c r="AE132" i="7" s="1"/>
  <c r="S89" i="7"/>
  <c r="T89" i="7"/>
  <c r="U89" i="7"/>
  <c r="V89" i="7"/>
  <c r="W89" i="7"/>
  <c r="X89" i="7"/>
  <c r="Y89" i="7"/>
  <c r="Z89" i="7"/>
  <c r="AA89" i="7"/>
  <c r="AB89" i="7"/>
  <c r="R89" i="7"/>
  <c r="S127" i="7" l="1"/>
  <c r="S131" i="7" s="1"/>
  <c r="T127" i="7"/>
  <c r="T131" i="7" s="1"/>
  <c r="U127" i="7"/>
  <c r="U131" i="7" s="1"/>
  <c r="V127" i="7"/>
  <c r="V131" i="7" s="1"/>
  <c r="W127" i="7"/>
  <c r="W131" i="7" s="1"/>
  <c r="X127" i="7"/>
  <c r="X131" i="7" s="1"/>
  <c r="Y127" i="7"/>
  <c r="Y131" i="7" s="1"/>
  <c r="Z127" i="7"/>
  <c r="Z131" i="7" s="1"/>
  <c r="AA127" i="7"/>
  <c r="AA131" i="7" s="1"/>
  <c r="AB127" i="7"/>
  <c r="AB131" i="7" s="1"/>
  <c r="B10" i="5"/>
  <c r="F89" i="7"/>
  <c r="G89" i="7"/>
  <c r="H89" i="7"/>
  <c r="I89" i="7"/>
  <c r="J89" i="7"/>
  <c r="K89" i="7"/>
  <c r="L89" i="7"/>
  <c r="M89" i="7"/>
  <c r="N89" i="7"/>
  <c r="O89" i="7"/>
  <c r="P89" i="7"/>
  <c r="Q89" i="7"/>
  <c r="E89" i="7"/>
  <c r="F127" i="7"/>
  <c r="E127" i="7"/>
  <c r="G127" i="7"/>
  <c r="H127" i="7"/>
  <c r="I127" i="7"/>
  <c r="J127" i="7"/>
  <c r="K127" i="7"/>
  <c r="L127" i="7"/>
  <c r="M127" i="7"/>
  <c r="N127" i="7"/>
  <c r="O127" i="7"/>
  <c r="P127" i="7"/>
  <c r="Q127" i="7"/>
  <c r="R127" i="7"/>
  <c r="AH55" i="7"/>
  <c r="C71" i="4"/>
  <c r="C74" i="4"/>
  <c r="C73" i="4"/>
  <c r="C63" i="4"/>
  <c r="C64" i="4"/>
  <c r="C65" i="4"/>
  <c r="C49" i="4"/>
  <c r="C50" i="4"/>
  <c r="C51" i="4"/>
  <c r="C52" i="4"/>
  <c r="C34" i="4"/>
  <c r="C36" i="4"/>
  <c r="C37" i="4"/>
  <c r="C17" i="4"/>
  <c r="C18" i="4"/>
  <c r="C19" i="4"/>
  <c r="C20" i="4"/>
  <c r="C21" i="4"/>
  <c r="C16" i="4"/>
  <c r="AQ89" i="2"/>
  <c r="AQ90" i="2"/>
  <c r="AQ80" i="2"/>
  <c r="AQ81" i="2"/>
  <c r="AQ82" i="2"/>
  <c r="AQ69" i="2"/>
  <c r="AQ70" i="2"/>
  <c r="AQ71" i="2"/>
  <c r="AQ72" i="2"/>
  <c r="AQ73" i="2"/>
  <c r="AQ74" i="2"/>
  <c r="AQ68" i="2"/>
  <c r="AQ36" i="2"/>
  <c r="AQ15" i="2"/>
  <c r="AP4" i="2"/>
  <c r="AP94" i="2" s="1"/>
  <c r="AP3" i="2"/>
  <c r="AO4" i="2"/>
  <c r="AO94" i="2" s="1"/>
  <c r="AO3" i="2"/>
  <c r="AN4" i="2"/>
  <c r="AN94" i="2" s="1"/>
  <c r="AN3" i="2"/>
  <c r="AM4" i="2"/>
  <c r="AM94" i="2" s="1"/>
  <c r="AM3" i="2"/>
  <c r="AL4" i="2"/>
  <c r="AL94" i="2" s="1"/>
  <c r="AL3" i="2"/>
  <c r="C44" i="1"/>
  <c r="B263" i="6"/>
  <c r="B271" i="6" s="1"/>
  <c r="B25" i="6"/>
  <c r="B144" i="6"/>
  <c r="B161" i="6"/>
  <c r="B169" i="6" s="1"/>
  <c r="B197" i="6"/>
  <c r="B248" i="6"/>
  <c r="B256" i="6" s="1"/>
  <c r="B214" i="6"/>
  <c r="C52" i="1"/>
  <c r="C55" i="1"/>
  <c r="E131" i="7" l="1"/>
  <c r="E132" i="7" s="1"/>
  <c r="AB117" i="6"/>
  <c r="P117" i="6"/>
  <c r="D117" i="6"/>
  <c r="AA117" i="6"/>
  <c r="O117" i="6"/>
  <c r="C117" i="6"/>
  <c r="Z117" i="6"/>
  <c r="N117" i="6"/>
  <c r="C115" i="6"/>
  <c r="Y117" i="6"/>
  <c r="M117" i="6"/>
  <c r="X117" i="6"/>
  <c r="L117" i="6"/>
  <c r="W117" i="6"/>
  <c r="Q117" i="6"/>
  <c r="J117" i="6"/>
  <c r="I117" i="6"/>
  <c r="H117" i="6"/>
  <c r="AE117" i="6"/>
  <c r="G117" i="6"/>
  <c r="AD117" i="6"/>
  <c r="F117" i="6"/>
  <c r="AC117" i="6"/>
  <c r="E117" i="6"/>
  <c r="V117" i="6"/>
  <c r="U117" i="6"/>
  <c r="T117" i="6"/>
  <c r="S117" i="6"/>
  <c r="R117" i="6"/>
  <c r="B255" i="6"/>
  <c r="B254" i="6" s="1"/>
  <c r="B204" i="6"/>
  <c r="B222" i="6"/>
  <c r="N301" i="6"/>
  <c r="Z301" i="6"/>
  <c r="C301" i="6"/>
  <c r="O301" i="6"/>
  <c r="AA301" i="6"/>
  <c r="D301" i="6"/>
  <c r="P301" i="6"/>
  <c r="AB301" i="6"/>
  <c r="E301" i="6"/>
  <c r="Q301" i="6"/>
  <c r="AC301" i="6"/>
  <c r="U301" i="6"/>
  <c r="F301" i="6"/>
  <c r="V301" i="6"/>
  <c r="I301" i="6"/>
  <c r="AD301" i="6"/>
  <c r="AE301" i="6"/>
  <c r="L301" i="6"/>
  <c r="G301" i="6"/>
  <c r="W301" i="6"/>
  <c r="H301" i="6"/>
  <c r="Y301" i="6"/>
  <c r="B301" i="6"/>
  <c r="M301" i="6"/>
  <c r="S301" i="6"/>
  <c r="X301" i="6"/>
  <c r="K301" i="6"/>
  <c r="R301" i="6"/>
  <c r="B300" i="6"/>
  <c r="T301" i="6"/>
  <c r="C300" i="6"/>
  <c r="D300" i="6"/>
  <c r="E300" i="6"/>
  <c r="F300" i="6"/>
  <c r="G300" i="6"/>
  <c r="H300" i="6"/>
  <c r="I300" i="6"/>
  <c r="J300" i="6"/>
  <c r="K300" i="6"/>
  <c r="L300" i="6"/>
  <c r="M300" i="6"/>
  <c r="N300" i="6"/>
  <c r="O300" i="6"/>
  <c r="P300" i="6"/>
  <c r="Q300" i="6"/>
  <c r="R300" i="6"/>
  <c r="S300" i="6"/>
  <c r="T300" i="6"/>
  <c r="U300" i="6"/>
  <c r="V300" i="6"/>
  <c r="W300" i="6"/>
  <c r="X300" i="6"/>
  <c r="Y300" i="6"/>
  <c r="Z300" i="6"/>
  <c r="AA300" i="6"/>
  <c r="AB300" i="6"/>
  <c r="AC300" i="6"/>
  <c r="AD300" i="6"/>
  <c r="AE300" i="6"/>
  <c r="AB271" i="6"/>
  <c r="P271" i="6"/>
  <c r="C271" i="6"/>
  <c r="U270" i="6"/>
  <c r="I270" i="6"/>
  <c r="AA271" i="6"/>
  <c r="O271" i="6"/>
  <c r="T270" i="6"/>
  <c r="H270" i="6"/>
  <c r="Z271" i="6"/>
  <c r="N271" i="6"/>
  <c r="S270" i="6"/>
  <c r="G270" i="6"/>
  <c r="Y271" i="6"/>
  <c r="M271" i="6"/>
  <c r="AD270" i="6"/>
  <c r="R270" i="6"/>
  <c r="F270" i="6"/>
  <c r="X271" i="6"/>
  <c r="L271" i="6"/>
  <c r="AC270" i="6"/>
  <c r="Q270" i="6"/>
  <c r="D270" i="6"/>
  <c r="W271" i="6"/>
  <c r="AB270" i="6"/>
  <c r="AB272" i="6" s="1"/>
  <c r="V271" i="6"/>
  <c r="J271" i="6"/>
  <c r="B270" i="6"/>
  <c r="U271" i="6"/>
  <c r="Z270" i="6"/>
  <c r="AE271" i="6"/>
  <c r="G271" i="6"/>
  <c r="R271" i="6"/>
  <c r="Q271" i="6"/>
  <c r="J270" i="6"/>
  <c r="AE270" i="6"/>
  <c r="K271" i="6"/>
  <c r="P270" i="6"/>
  <c r="P272" i="6" s="1"/>
  <c r="C270" i="6"/>
  <c r="E271" i="6"/>
  <c r="AA270" i="6"/>
  <c r="O270" i="6"/>
  <c r="E270" i="6"/>
  <c r="I271" i="6"/>
  <c r="N270" i="6"/>
  <c r="T271" i="6"/>
  <c r="H271" i="6"/>
  <c r="Y270" i="6"/>
  <c r="M270" i="6"/>
  <c r="S271" i="6"/>
  <c r="X270" i="6"/>
  <c r="L270" i="6"/>
  <c r="AD271" i="6"/>
  <c r="F271" i="6"/>
  <c r="W270" i="6"/>
  <c r="K270" i="6"/>
  <c r="AC271" i="6"/>
  <c r="D271" i="6"/>
  <c r="V270" i="6"/>
  <c r="B151" i="6"/>
  <c r="B134" i="6"/>
  <c r="C38" i="4"/>
  <c r="U132" i="7"/>
  <c r="U88" i="7"/>
  <c r="T132" i="7"/>
  <c r="T88" i="7"/>
  <c r="S132" i="7"/>
  <c r="S88" i="7"/>
  <c r="Z132" i="7"/>
  <c r="Z88" i="7"/>
  <c r="Y132" i="7"/>
  <c r="Y88" i="7"/>
  <c r="V132" i="7"/>
  <c r="V88" i="7"/>
  <c r="W132" i="7"/>
  <c r="W88" i="7"/>
  <c r="AB132" i="7"/>
  <c r="AB88" i="7"/>
  <c r="X132" i="7"/>
  <c r="X88" i="7"/>
  <c r="AA132" i="7"/>
  <c r="AA88" i="7"/>
  <c r="AC131" i="7"/>
  <c r="R131" i="7"/>
  <c r="R88" i="7" s="1"/>
  <c r="F131" i="7"/>
  <c r="B126" i="6"/>
  <c r="B143" i="6"/>
  <c r="B160" i="6"/>
  <c r="B178" i="6"/>
  <c r="B213" i="6"/>
  <c r="E272" i="6" l="1"/>
  <c r="K272" i="6"/>
  <c r="C116" i="6"/>
  <c r="D115" i="6" s="1"/>
  <c r="W272" i="6"/>
  <c r="C272" i="6"/>
  <c r="H272" i="6"/>
  <c r="F302" i="6"/>
  <c r="L302" i="6"/>
  <c r="AA272" i="6"/>
  <c r="Y302" i="6"/>
  <c r="U302" i="6"/>
  <c r="Q272" i="6"/>
  <c r="O272" i="6"/>
  <c r="B302" i="6"/>
  <c r="W302" i="6"/>
  <c r="J272" i="6"/>
  <c r="T302" i="6"/>
  <c r="G302" i="6"/>
  <c r="P302" i="6"/>
  <c r="M302" i="6"/>
  <c r="K302" i="6"/>
  <c r="N272" i="6"/>
  <c r="AE302" i="6"/>
  <c r="AC272" i="6"/>
  <c r="R302" i="6"/>
  <c r="Q302" i="6"/>
  <c r="E302" i="6"/>
  <c r="T272" i="6"/>
  <c r="X302" i="6"/>
  <c r="F272" i="6"/>
  <c r="L272" i="6"/>
  <c r="R272" i="6"/>
  <c r="AB302" i="6"/>
  <c r="V302" i="6"/>
  <c r="J302" i="6"/>
  <c r="D302" i="6"/>
  <c r="D272" i="6"/>
  <c r="B257" i="6"/>
  <c r="I272" i="6"/>
  <c r="M272" i="6"/>
  <c r="S302" i="6"/>
  <c r="AD302" i="6"/>
  <c r="Z272" i="6"/>
  <c r="AC302" i="6"/>
  <c r="X272" i="6"/>
  <c r="B272" i="6"/>
  <c r="AD272" i="6"/>
  <c r="U272" i="6"/>
  <c r="AA302" i="6"/>
  <c r="O302" i="6"/>
  <c r="I302" i="6"/>
  <c r="C302" i="6"/>
  <c r="Y272" i="6"/>
  <c r="G272" i="6"/>
  <c r="V272" i="6"/>
  <c r="AE272" i="6"/>
  <c r="S272" i="6"/>
  <c r="Z302" i="6"/>
  <c r="N302" i="6"/>
  <c r="H302" i="6"/>
  <c r="AC132" i="7"/>
  <c r="AC88" i="7"/>
  <c r="B299" i="6"/>
  <c r="B262" i="6"/>
  <c r="B261" i="6"/>
  <c r="B264" i="6" s="1"/>
  <c r="B265" i="6" s="1"/>
  <c r="A259" i="6"/>
  <c r="F6" i="3"/>
  <c r="F7" i="3"/>
  <c r="F9" i="3"/>
  <c r="F8" i="3"/>
  <c r="F10" i="3"/>
  <c r="C10" i="3"/>
  <c r="C7" i="3"/>
  <c r="C8" i="3"/>
  <c r="C9" i="3"/>
  <c r="E10" i="3"/>
  <c r="E9" i="3"/>
  <c r="E7" i="3"/>
  <c r="E8" i="3"/>
  <c r="C252" i="6"/>
  <c r="D10" i="3"/>
  <c r="B247" i="6"/>
  <c r="B249" i="6" s="1"/>
  <c r="B250" i="6" s="1"/>
  <c r="A244" i="6"/>
  <c r="D8" i="3"/>
  <c r="D9" i="3"/>
  <c r="F11" i="19" s="1"/>
  <c r="H8" i="18"/>
  <c r="B34" i="18"/>
  <c r="B35" i="18"/>
  <c r="B86" i="2"/>
  <c r="B86" i="18" s="1"/>
  <c r="B87" i="2"/>
  <c r="B87" i="18" s="1"/>
  <c r="B88" i="2"/>
  <c r="B88" i="18" s="1"/>
  <c r="B89" i="2"/>
  <c r="B90" i="2"/>
  <c r="B85" i="2"/>
  <c r="B78" i="2"/>
  <c r="B78" i="18" s="1"/>
  <c r="B79" i="2"/>
  <c r="B79" i="18" s="1"/>
  <c r="B80" i="2"/>
  <c r="B81" i="2"/>
  <c r="B82" i="2"/>
  <c r="B77" i="2"/>
  <c r="B69" i="2"/>
  <c r="B68" i="7" s="1"/>
  <c r="B70" i="2"/>
  <c r="B69" i="7" s="1"/>
  <c r="B71" i="2"/>
  <c r="B70" i="7" s="1"/>
  <c r="B72" i="2"/>
  <c r="B71" i="7" s="1"/>
  <c r="B73" i="2"/>
  <c r="B72" i="7" s="1"/>
  <c r="B74" i="2"/>
  <c r="B73" i="7" s="1"/>
  <c r="B68" i="2"/>
  <c r="B36" i="2"/>
  <c r="B16" i="2"/>
  <c r="B18" i="7" s="1"/>
  <c r="B17" i="2"/>
  <c r="B19" i="7" s="1"/>
  <c r="B18" i="2"/>
  <c r="B20" i="7" s="1"/>
  <c r="B19" i="2"/>
  <c r="B21" i="7" s="1"/>
  <c r="B20" i="2"/>
  <c r="B22" i="7" s="1"/>
  <c r="B21" i="2"/>
  <c r="B23" i="7" s="1"/>
  <c r="B22" i="2"/>
  <c r="B24" i="7" s="1"/>
  <c r="B23" i="2"/>
  <c r="B25" i="7" s="1"/>
  <c r="B24" i="2"/>
  <c r="B26" i="7" s="1"/>
  <c r="B25" i="2"/>
  <c r="B27" i="7" s="1"/>
  <c r="B26" i="2"/>
  <c r="B28" i="7" s="1"/>
  <c r="B27" i="2"/>
  <c r="B29" i="7" s="1"/>
  <c r="B28" i="2"/>
  <c r="B30" i="7" s="1"/>
  <c r="B29" i="2"/>
  <c r="B31" i="7" s="1"/>
  <c r="B30" i="2"/>
  <c r="B32" i="7" s="1"/>
  <c r="B31" i="2"/>
  <c r="B33" i="7" s="1"/>
  <c r="B32" i="2"/>
  <c r="B34" i="7" s="1"/>
  <c r="B15" i="2"/>
  <c r="B6" i="2"/>
  <c r="B7" i="2"/>
  <c r="B8" i="2"/>
  <c r="B9" i="2"/>
  <c r="B10" i="2"/>
  <c r="B10" i="18" s="1"/>
  <c r="B11" i="2"/>
  <c r="B12" i="2"/>
  <c r="B5" i="2"/>
  <c r="C90" i="17"/>
  <c r="C90" i="2" s="1"/>
  <c r="D91" i="17"/>
  <c r="E91" i="17"/>
  <c r="F91" i="17"/>
  <c r="G91" i="17"/>
  <c r="H91" i="17"/>
  <c r="I91" i="17"/>
  <c r="J91" i="17"/>
  <c r="K91" i="17"/>
  <c r="L91" i="17"/>
  <c r="M91" i="17"/>
  <c r="C89" i="17"/>
  <c r="E83" i="17"/>
  <c r="F83" i="17"/>
  <c r="G83" i="17"/>
  <c r="H83" i="17"/>
  <c r="I83" i="17"/>
  <c r="J83" i="17"/>
  <c r="K83" i="17"/>
  <c r="L83" i="17"/>
  <c r="M83" i="17"/>
  <c r="D83" i="17"/>
  <c r="C82" i="17"/>
  <c r="C82" i="2" s="1"/>
  <c r="C81" i="17"/>
  <c r="C81" i="2" s="1"/>
  <c r="E75" i="17"/>
  <c r="D75" i="17"/>
  <c r="G75" i="17"/>
  <c r="H75" i="17"/>
  <c r="I75" i="17"/>
  <c r="J75" i="17"/>
  <c r="K75" i="17"/>
  <c r="L75" i="17"/>
  <c r="M75" i="17"/>
  <c r="C72" i="2"/>
  <c r="D71" i="7" s="1"/>
  <c r="C74" i="2"/>
  <c r="D73" i="7" s="1"/>
  <c r="D33" i="17"/>
  <c r="G66" i="17"/>
  <c r="H66" i="17"/>
  <c r="I66" i="17"/>
  <c r="J66" i="17"/>
  <c r="K66" i="17"/>
  <c r="L66" i="17"/>
  <c r="M66" i="17"/>
  <c r="C29" i="2"/>
  <c r="C30" i="2"/>
  <c r="C31" i="2"/>
  <c r="C32" i="2"/>
  <c r="E33" i="17"/>
  <c r="F33" i="17"/>
  <c r="G33" i="17"/>
  <c r="H33" i="17"/>
  <c r="I33" i="17"/>
  <c r="J33" i="17"/>
  <c r="K33" i="17"/>
  <c r="L33" i="17"/>
  <c r="M33" i="17"/>
  <c r="C11" i="17"/>
  <c r="C11" i="18" s="1"/>
  <c r="G13" i="17"/>
  <c r="H13" i="17"/>
  <c r="I13" i="17"/>
  <c r="J13" i="17"/>
  <c r="K13" i="17"/>
  <c r="L13" i="17"/>
  <c r="M13" i="17"/>
  <c r="C12" i="17"/>
  <c r="C12" i="2" s="1"/>
  <c r="D34" i="7" l="1"/>
  <c r="AH34" i="7" s="1"/>
  <c r="AR32" i="2"/>
  <c r="D32" i="7"/>
  <c r="AH32" i="7" s="1"/>
  <c r="AR30" i="2"/>
  <c r="D15" i="7"/>
  <c r="AH15" i="7" s="1"/>
  <c r="AR12" i="2"/>
  <c r="D33" i="7"/>
  <c r="AH33" i="7" s="1"/>
  <c r="AR31" i="2"/>
  <c r="D31" i="7"/>
  <c r="AR29" i="2"/>
  <c r="Z11" i="18"/>
  <c r="AA11" i="18"/>
  <c r="AE11" i="18"/>
  <c r="D116" i="6"/>
  <c r="E115" i="6" s="1"/>
  <c r="B268" i="6"/>
  <c r="B269" i="6" s="1"/>
  <c r="C298" i="6"/>
  <c r="C299" i="6" s="1"/>
  <c r="D298" i="6" s="1"/>
  <c r="D299" i="6" s="1"/>
  <c r="E298" i="6" s="1"/>
  <c r="E299" i="6" s="1"/>
  <c r="F298" i="6" s="1"/>
  <c r="F299" i="6" s="1"/>
  <c r="G298" i="6" s="1"/>
  <c r="G299" i="6" s="1"/>
  <c r="H298" i="6" s="1"/>
  <c r="H299" i="6" s="1"/>
  <c r="I298" i="6" s="1"/>
  <c r="I299" i="6" s="1"/>
  <c r="J298" i="6" s="1"/>
  <c r="J299" i="6" s="1"/>
  <c r="K298" i="6" s="1"/>
  <c r="K299" i="6" s="1"/>
  <c r="L298" i="6" s="1"/>
  <c r="L299" i="6" s="1"/>
  <c r="M298" i="6" s="1"/>
  <c r="M299" i="6" s="1"/>
  <c r="N298" i="6" s="1"/>
  <c r="N299" i="6" s="1"/>
  <c r="O298" i="6" s="1"/>
  <c r="O299" i="6" s="1"/>
  <c r="P298" i="6" s="1"/>
  <c r="P299" i="6" s="1"/>
  <c r="Q298" i="6" s="1"/>
  <c r="Q299" i="6" s="1"/>
  <c r="R298" i="6" s="1"/>
  <c r="R299" i="6" s="1"/>
  <c r="S298" i="6" s="1"/>
  <c r="S299" i="6" s="1"/>
  <c r="T298" i="6" s="1"/>
  <c r="T299" i="6" s="1"/>
  <c r="U298" i="6" s="1"/>
  <c r="U299" i="6" s="1"/>
  <c r="V298" i="6" s="1"/>
  <c r="V299" i="6" s="1"/>
  <c r="W298" i="6" s="1"/>
  <c r="W299" i="6" s="1"/>
  <c r="X298" i="6" s="1"/>
  <c r="X299" i="6" s="1"/>
  <c r="Y298" i="6" s="1"/>
  <c r="Y299" i="6" s="1"/>
  <c r="Z298" i="6" s="1"/>
  <c r="Z299" i="6" s="1"/>
  <c r="AA298" i="6" s="1"/>
  <c r="AA299" i="6" s="1"/>
  <c r="AB298" i="6" s="1"/>
  <c r="AB299" i="6" s="1"/>
  <c r="AC298" i="6" s="1"/>
  <c r="AC299" i="6" s="1"/>
  <c r="AD298" i="6" s="1"/>
  <c r="AD299" i="6" s="1"/>
  <c r="AE298" i="6" s="1"/>
  <c r="AE299" i="6" s="1"/>
  <c r="C256" i="6"/>
  <c r="C255" i="6"/>
  <c r="D252" i="6"/>
  <c r="G8" i="19"/>
  <c r="G9" i="19"/>
  <c r="C21" i="3"/>
  <c r="F10" i="19"/>
  <c r="F9" i="19"/>
  <c r="F8" i="19"/>
  <c r="G10" i="3"/>
  <c r="G6" i="3"/>
  <c r="G10" i="19"/>
  <c r="G11" i="19"/>
  <c r="C32" i="18"/>
  <c r="C31" i="18"/>
  <c r="C30" i="18"/>
  <c r="AH31" i="7"/>
  <c r="C29" i="18"/>
  <c r="C74" i="18"/>
  <c r="AH73" i="7"/>
  <c r="AR74" i="2"/>
  <c r="C72" i="18"/>
  <c r="AH71" i="7"/>
  <c r="AR72" i="2"/>
  <c r="C81" i="18"/>
  <c r="AE81" i="18" s="1"/>
  <c r="D79" i="7"/>
  <c r="AH79" i="7" s="1"/>
  <c r="AR81" i="2"/>
  <c r="C82" i="18"/>
  <c r="AE82" i="18" s="1"/>
  <c r="D80" i="7"/>
  <c r="AH80" i="7" s="1"/>
  <c r="AR82" i="2"/>
  <c r="C90" i="18"/>
  <c r="D87" i="7"/>
  <c r="AH87" i="7" s="1"/>
  <c r="AR90" i="2"/>
  <c r="B12" i="18"/>
  <c r="B15" i="7"/>
  <c r="B11" i="18"/>
  <c r="B14" i="7"/>
  <c r="B32" i="18"/>
  <c r="B31" i="18"/>
  <c r="B30" i="18"/>
  <c r="B29" i="18"/>
  <c r="B74" i="18"/>
  <c r="B73" i="18"/>
  <c r="B72" i="18"/>
  <c r="B82" i="18"/>
  <c r="B80" i="7"/>
  <c r="B81" i="18"/>
  <c r="B79" i="7"/>
  <c r="B80" i="18"/>
  <c r="B78" i="7"/>
  <c r="B90" i="18"/>
  <c r="B87" i="7"/>
  <c r="B89" i="18"/>
  <c r="B86" i="7"/>
  <c r="C89" i="2"/>
  <c r="C73" i="2"/>
  <c r="D72" i="7" s="1"/>
  <c r="C11" i="2"/>
  <c r="C12" i="18"/>
  <c r="C11" i="3"/>
  <c r="D92" i="17"/>
  <c r="D34" i="17"/>
  <c r="Z29" i="18" l="1"/>
  <c r="AE29" i="18"/>
  <c r="AA29" i="18"/>
  <c r="Z30" i="18"/>
  <c r="AE30" i="18"/>
  <c r="AA30" i="18"/>
  <c r="Z31" i="18"/>
  <c r="AE31" i="18"/>
  <c r="AA31" i="18"/>
  <c r="Z32" i="18"/>
  <c r="AE32" i="18"/>
  <c r="AA32" i="18"/>
  <c r="D14" i="7"/>
  <c r="AH14" i="7" s="1"/>
  <c r="AR11" i="2"/>
  <c r="AE12" i="18"/>
  <c r="Z12" i="18"/>
  <c r="AA12" i="18"/>
  <c r="AA82" i="18"/>
  <c r="Z82" i="18"/>
  <c r="AA81" i="18"/>
  <c r="Z81" i="18"/>
  <c r="E116" i="6"/>
  <c r="F115" i="6" s="1"/>
  <c r="C268" i="6"/>
  <c r="C269" i="6" s="1"/>
  <c r="D268" i="6" s="1"/>
  <c r="D269" i="6" s="1"/>
  <c r="E268" i="6" s="1"/>
  <c r="E269" i="6" s="1"/>
  <c r="F268" i="6" s="1"/>
  <c r="F269" i="6" s="1"/>
  <c r="G268" i="6" s="1"/>
  <c r="G269" i="6" s="1"/>
  <c r="H268" i="6" s="1"/>
  <c r="H269" i="6" s="1"/>
  <c r="I268" i="6" s="1"/>
  <c r="I269" i="6" s="1"/>
  <c r="J268" i="6" s="1"/>
  <c r="J269" i="6" s="1"/>
  <c r="K268" i="6" s="1"/>
  <c r="K269" i="6" s="1"/>
  <c r="L268" i="6" s="1"/>
  <c r="L269" i="6" s="1"/>
  <c r="M268" i="6" s="1"/>
  <c r="M269" i="6" s="1"/>
  <c r="N268" i="6" s="1"/>
  <c r="N269" i="6" s="1"/>
  <c r="O268" i="6" s="1"/>
  <c r="O269" i="6" s="1"/>
  <c r="P268" i="6" s="1"/>
  <c r="P269" i="6" s="1"/>
  <c r="Q268" i="6" s="1"/>
  <c r="Q269" i="6" s="1"/>
  <c r="R268" i="6" s="1"/>
  <c r="R269" i="6" s="1"/>
  <c r="S268" i="6" s="1"/>
  <c r="S269" i="6" s="1"/>
  <c r="T268" i="6" s="1"/>
  <c r="T269" i="6" s="1"/>
  <c r="U268" i="6" s="1"/>
  <c r="U269" i="6" s="1"/>
  <c r="V268" i="6" s="1"/>
  <c r="V269" i="6" s="1"/>
  <c r="W268" i="6" s="1"/>
  <c r="W269" i="6" s="1"/>
  <c r="X268" i="6" s="1"/>
  <c r="X269" i="6" s="1"/>
  <c r="Y268" i="6" s="1"/>
  <c r="Y269" i="6" s="1"/>
  <c r="Z268" i="6" s="1"/>
  <c r="Z269" i="6" s="1"/>
  <c r="AA268" i="6" s="1"/>
  <c r="AA269" i="6" s="1"/>
  <c r="AB268" i="6" s="1"/>
  <c r="AB269" i="6" s="1"/>
  <c r="AC268" i="6" s="1"/>
  <c r="AC269" i="6" s="1"/>
  <c r="AD268" i="6" s="1"/>
  <c r="AD269" i="6" s="1"/>
  <c r="AE268" i="6" s="1"/>
  <c r="AE269" i="6" s="1"/>
  <c r="D255" i="6"/>
  <c r="D256" i="6"/>
  <c r="E252" i="6"/>
  <c r="AH72" i="7"/>
  <c r="AR73" i="2"/>
  <c r="D86" i="7"/>
  <c r="AH86" i="7" s="1"/>
  <c r="AR89" i="2"/>
  <c r="C89" i="18"/>
  <c r="C73" i="18"/>
  <c r="B13" i="7"/>
  <c r="C10" i="17"/>
  <c r="F116" i="6" l="1"/>
  <c r="G115" i="6" s="1"/>
  <c r="E255" i="6"/>
  <c r="E256" i="6"/>
  <c r="D257" i="6"/>
  <c r="F252" i="6"/>
  <c r="C10" i="2"/>
  <c r="C10" i="18"/>
  <c r="C141" i="7"/>
  <c r="E34" i="11"/>
  <c r="Z10" i="18" l="1"/>
  <c r="AA10" i="18"/>
  <c r="AE10" i="18"/>
  <c r="G116" i="6"/>
  <c r="H115" i="6" s="1"/>
  <c r="F256" i="6"/>
  <c r="F255" i="6"/>
  <c r="E257" i="6"/>
  <c r="G252" i="6"/>
  <c r="AF141" i="7"/>
  <c r="AG141" i="7"/>
  <c r="AD141" i="7"/>
  <c r="AE141" i="7"/>
  <c r="V141" i="7"/>
  <c r="P141" i="7"/>
  <c r="AC141" i="7"/>
  <c r="S141" i="7"/>
  <c r="W141" i="7"/>
  <c r="X141" i="7"/>
  <c r="M141" i="7"/>
  <c r="Y141" i="7"/>
  <c r="AA141" i="7"/>
  <c r="AB141" i="7"/>
  <c r="R141" i="7"/>
  <c r="N141" i="7"/>
  <c r="Z141" i="7"/>
  <c r="O141" i="7"/>
  <c r="Q141" i="7"/>
  <c r="U141" i="7"/>
  <c r="T141" i="7"/>
  <c r="AR10" i="2"/>
  <c r="D13" i="7"/>
  <c r="AH13" i="7" s="1"/>
  <c r="H51" i="5"/>
  <c r="I51" i="5"/>
  <c r="J51" i="5"/>
  <c r="K51" i="5"/>
  <c r="L51" i="5"/>
  <c r="M51" i="5"/>
  <c r="N51" i="5"/>
  <c r="O51" i="5"/>
  <c r="P51" i="5"/>
  <c r="Q51" i="5"/>
  <c r="Z110" i="18"/>
  <c r="Z111" i="18" s="1"/>
  <c r="Z106" i="18"/>
  <c r="Z102" i="18"/>
  <c r="C108" i="18"/>
  <c r="C107" i="18"/>
  <c r="C109" i="18" l="1"/>
  <c r="H116" i="6"/>
  <c r="I115" i="6" s="1"/>
  <c r="G255" i="6"/>
  <c r="G256" i="6"/>
  <c r="F257" i="6"/>
  <c r="H252" i="6"/>
  <c r="E14" i="1"/>
  <c r="J50" i="5"/>
  <c r="M50" i="5"/>
  <c r="N50" i="5"/>
  <c r="Q50" i="5"/>
  <c r="C50" i="5"/>
  <c r="G50" i="5"/>
  <c r="I50" i="5"/>
  <c r="K50" i="5"/>
  <c r="O50" i="5"/>
  <c r="P50" i="5"/>
  <c r="L50" i="5"/>
  <c r="D50" i="5"/>
  <c r="E50" i="5"/>
  <c r="F50" i="5"/>
  <c r="H50" i="5"/>
  <c r="Y77" i="18"/>
  <c r="Y36" i="18"/>
  <c r="Y20" i="18"/>
  <c r="Y21" i="18"/>
  <c r="Y22" i="18"/>
  <c r="Y23" i="18"/>
  <c r="Y24" i="18"/>
  <c r="Y25" i="18"/>
  <c r="Y26" i="18"/>
  <c r="Y19" i="18"/>
  <c r="Y16" i="18"/>
  <c r="Y17" i="18"/>
  <c r="Y15" i="18"/>
  <c r="X9" i="18"/>
  <c r="X8" i="18"/>
  <c r="X6" i="18"/>
  <c r="W77" i="18"/>
  <c r="W36" i="18"/>
  <c r="W20" i="18"/>
  <c r="W21" i="18"/>
  <c r="W22" i="18"/>
  <c r="W23" i="18"/>
  <c r="W24" i="18"/>
  <c r="W25" i="18"/>
  <c r="W26" i="18"/>
  <c r="W19" i="18"/>
  <c r="W16" i="18"/>
  <c r="W17" i="18"/>
  <c r="W15" i="18"/>
  <c r="V9" i="18"/>
  <c r="V8" i="18"/>
  <c r="V6" i="18"/>
  <c r="U77" i="18"/>
  <c r="U36" i="18"/>
  <c r="U20" i="18"/>
  <c r="U21" i="18"/>
  <c r="U22" i="18"/>
  <c r="U23" i="18"/>
  <c r="U24" i="18"/>
  <c r="U25" i="18"/>
  <c r="U26" i="18"/>
  <c r="U19" i="18"/>
  <c r="U16" i="18"/>
  <c r="U17" i="18"/>
  <c r="U15" i="18"/>
  <c r="T8" i="18"/>
  <c r="T6" i="18"/>
  <c r="S77" i="18"/>
  <c r="S36" i="18"/>
  <c r="S20" i="18"/>
  <c r="S21" i="18"/>
  <c r="S22" i="18"/>
  <c r="S23" i="18"/>
  <c r="S24" i="18"/>
  <c r="S25" i="18"/>
  <c r="S26" i="18"/>
  <c r="S19" i="18"/>
  <c r="S16" i="18"/>
  <c r="S17" i="18"/>
  <c r="S15" i="18"/>
  <c r="R8" i="18"/>
  <c r="R6" i="18"/>
  <c r="Q77" i="18"/>
  <c r="Q36" i="18"/>
  <c r="Q20" i="18"/>
  <c r="Q21" i="18"/>
  <c r="Q22" i="18"/>
  <c r="Q23" i="18"/>
  <c r="Q24" i="18"/>
  <c r="Q25" i="18"/>
  <c r="Q19" i="18"/>
  <c r="Q16" i="18"/>
  <c r="Q17" i="18"/>
  <c r="Q15" i="18"/>
  <c r="P8" i="18"/>
  <c r="P6" i="18"/>
  <c r="O77" i="18"/>
  <c r="O36" i="18"/>
  <c r="O20" i="18"/>
  <c r="O21" i="18"/>
  <c r="O22" i="18"/>
  <c r="O23" i="18"/>
  <c r="O24" i="18"/>
  <c r="O25" i="18"/>
  <c r="O26" i="18"/>
  <c r="O19" i="18"/>
  <c r="O16" i="18"/>
  <c r="O17" i="18"/>
  <c r="O15" i="18"/>
  <c r="N8" i="18"/>
  <c r="N6" i="18"/>
  <c r="M77" i="18"/>
  <c r="M36" i="18"/>
  <c r="M20" i="18"/>
  <c r="M21" i="18"/>
  <c r="M22" i="18"/>
  <c r="M23" i="18"/>
  <c r="M24" i="18"/>
  <c r="M25" i="18"/>
  <c r="M26" i="18"/>
  <c r="M19" i="18"/>
  <c r="M16" i="18"/>
  <c r="M17" i="18"/>
  <c r="M15" i="18"/>
  <c r="L8" i="18"/>
  <c r="L6" i="18"/>
  <c r="K77" i="18"/>
  <c r="K36" i="18"/>
  <c r="K20" i="18"/>
  <c r="K21" i="18"/>
  <c r="K22" i="18"/>
  <c r="K23" i="18"/>
  <c r="K24" i="18"/>
  <c r="K25" i="18"/>
  <c r="K26" i="18"/>
  <c r="K19" i="18"/>
  <c r="K16" i="18"/>
  <c r="K17" i="18"/>
  <c r="K15" i="18"/>
  <c r="J9" i="18"/>
  <c r="J8" i="18"/>
  <c r="J6" i="18"/>
  <c r="H6" i="18"/>
  <c r="I77" i="18"/>
  <c r="I20" i="18"/>
  <c r="I21" i="18"/>
  <c r="I22" i="18"/>
  <c r="I23" i="18"/>
  <c r="I24" i="18"/>
  <c r="I25" i="18"/>
  <c r="I26" i="18"/>
  <c r="I19" i="18"/>
  <c r="I16" i="18"/>
  <c r="I17" i="18"/>
  <c r="I15" i="18"/>
  <c r="G15" i="18"/>
  <c r="F6" i="18"/>
  <c r="G77" i="18"/>
  <c r="G20" i="18"/>
  <c r="G21" i="18"/>
  <c r="G22" i="18"/>
  <c r="G23" i="18"/>
  <c r="G24" i="18"/>
  <c r="G25" i="18"/>
  <c r="E25" i="18" s="1"/>
  <c r="G26" i="18"/>
  <c r="G19" i="18"/>
  <c r="E19" i="18" s="1"/>
  <c r="G16" i="18"/>
  <c r="G17" i="18"/>
  <c r="F8" i="18"/>
  <c r="B92" i="18"/>
  <c r="B85" i="18"/>
  <c r="B84" i="18"/>
  <c r="B77" i="18"/>
  <c r="B76" i="18"/>
  <c r="B71" i="18"/>
  <c r="B70" i="18"/>
  <c r="B69" i="18"/>
  <c r="B68" i="18"/>
  <c r="B36" i="18"/>
  <c r="B33" i="18"/>
  <c r="B28" i="18"/>
  <c r="B27" i="18"/>
  <c r="B26" i="18"/>
  <c r="B25" i="18"/>
  <c r="B24" i="18"/>
  <c r="B23" i="18"/>
  <c r="B22" i="18"/>
  <c r="B21" i="18"/>
  <c r="B20" i="18"/>
  <c r="B19" i="18"/>
  <c r="B18" i="18"/>
  <c r="B17" i="18"/>
  <c r="B16" i="18"/>
  <c r="B15" i="18"/>
  <c r="B14" i="18"/>
  <c r="B13" i="18"/>
  <c r="B9" i="18"/>
  <c r="B8" i="18"/>
  <c r="B7" i="18"/>
  <c r="B6" i="18"/>
  <c r="B5" i="18"/>
  <c r="B4" i="18"/>
  <c r="C3" i="18"/>
  <c r="B1" i="18"/>
  <c r="A1" i="18"/>
  <c r="E24" i="18" l="1"/>
  <c r="E22" i="18"/>
  <c r="E26" i="18"/>
  <c r="D9" i="18"/>
  <c r="E36" i="18"/>
  <c r="E23" i="18"/>
  <c r="E21" i="18"/>
  <c r="E20" i="18"/>
  <c r="E77" i="18"/>
  <c r="D8" i="18"/>
  <c r="D6" i="18"/>
  <c r="E17" i="18"/>
  <c r="E15" i="18"/>
  <c r="E16" i="18"/>
  <c r="I116" i="6"/>
  <c r="J115" i="6" s="1"/>
  <c r="G257" i="6"/>
  <c r="H255" i="6"/>
  <c r="H256" i="6"/>
  <c r="I252" i="6"/>
  <c r="F93" i="18"/>
  <c r="F97" i="18" s="1"/>
  <c r="J116" i="6" l="1"/>
  <c r="K115" i="6" s="1"/>
  <c r="K117" i="6" s="1"/>
  <c r="I255" i="6"/>
  <c r="I256" i="6"/>
  <c r="H257" i="6"/>
  <c r="J252" i="6"/>
  <c r="W93" i="18"/>
  <c r="W97" i="18" s="1"/>
  <c r="V93" i="18"/>
  <c r="H93" i="18"/>
  <c r="T93" i="18"/>
  <c r="X93" i="18"/>
  <c r="J93" i="18"/>
  <c r="L93" i="18"/>
  <c r="N93" i="18"/>
  <c r="P93" i="18"/>
  <c r="R93" i="18"/>
  <c r="Y93" i="18"/>
  <c r="K116" i="6" l="1"/>
  <c r="L115" i="6" s="1"/>
  <c r="I257" i="6"/>
  <c r="J256" i="6"/>
  <c r="J255" i="6"/>
  <c r="K252" i="6"/>
  <c r="V97" i="18"/>
  <c r="R97" i="18"/>
  <c r="P97" i="18"/>
  <c r="N97" i="18"/>
  <c r="L97" i="18"/>
  <c r="J97" i="18"/>
  <c r="T97" i="18"/>
  <c r="Y97" i="18"/>
  <c r="H97" i="18"/>
  <c r="X97" i="18"/>
  <c r="C86" i="17"/>
  <c r="C86" i="2" s="1"/>
  <c r="C87" i="17"/>
  <c r="C87" i="2" s="1"/>
  <c r="C87" i="18" s="1"/>
  <c r="C88" i="17"/>
  <c r="C88" i="2" s="1"/>
  <c r="C85" i="17"/>
  <c r="C80" i="17"/>
  <c r="C78" i="17"/>
  <c r="C78" i="2" s="1"/>
  <c r="C78" i="18" s="1"/>
  <c r="C79" i="17"/>
  <c r="C79" i="2" s="1"/>
  <c r="C79" i="18" s="1"/>
  <c r="C77" i="17"/>
  <c r="C71" i="2"/>
  <c r="D70" i="7" s="1"/>
  <c r="C36" i="17"/>
  <c r="C9" i="17"/>
  <c r="C9" i="18" s="1"/>
  <c r="C21" i="17"/>
  <c r="C21" i="2" s="1"/>
  <c r="AR21" i="2" s="1"/>
  <c r="C16" i="17"/>
  <c r="C16" i="2" s="1"/>
  <c r="AR16" i="2" s="1"/>
  <c r="C17" i="17"/>
  <c r="C17" i="18" s="1"/>
  <c r="AE17" i="18" s="1"/>
  <c r="C18" i="17"/>
  <c r="C18" i="18" s="1"/>
  <c r="C19" i="17"/>
  <c r="C19" i="2" s="1"/>
  <c r="AR19" i="2" s="1"/>
  <c r="C20" i="17"/>
  <c r="C20" i="2" s="1"/>
  <c r="AR20" i="2" s="1"/>
  <c r="C22" i="17"/>
  <c r="C22" i="2" s="1"/>
  <c r="AR22" i="2" s="1"/>
  <c r="C23" i="17"/>
  <c r="C23" i="2" s="1"/>
  <c r="AR23" i="2" s="1"/>
  <c r="C24" i="17"/>
  <c r="C24" i="2" s="1"/>
  <c r="AR24" i="2" s="1"/>
  <c r="C25" i="2"/>
  <c r="AR25" i="2" s="1"/>
  <c r="C26" i="17"/>
  <c r="C26" i="2" s="1"/>
  <c r="AR26" i="2" s="1"/>
  <c r="C27" i="17"/>
  <c r="C27" i="2" s="1"/>
  <c r="AR27" i="2" s="1"/>
  <c r="C15" i="17"/>
  <c r="C8" i="17"/>
  <c r="C8" i="18" s="1"/>
  <c r="C7" i="17"/>
  <c r="C7" i="18" s="1"/>
  <c r="AE7" i="18" s="1"/>
  <c r="C6" i="17"/>
  <c r="C6" i="18" s="1"/>
  <c r="Z6" i="18" s="1"/>
  <c r="C5" i="17"/>
  <c r="B1" i="17"/>
  <c r="A1" i="17"/>
  <c r="C88" i="18" l="1"/>
  <c r="C24" i="18"/>
  <c r="AA24" i="18" s="1"/>
  <c r="D26" i="7"/>
  <c r="C23" i="18"/>
  <c r="AA23" i="18" s="1"/>
  <c r="D25" i="7"/>
  <c r="C22" i="18"/>
  <c r="AE22" i="18" s="1"/>
  <c r="D24" i="7"/>
  <c r="AA79" i="18"/>
  <c r="Z79" i="18"/>
  <c r="C20" i="18"/>
  <c r="AA20" i="18" s="1"/>
  <c r="D22" i="7"/>
  <c r="AA78" i="18"/>
  <c r="Z78" i="18"/>
  <c r="D21" i="7"/>
  <c r="E19" i="2"/>
  <c r="C16" i="18"/>
  <c r="Z16" i="18" s="1"/>
  <c r="D18" i="7"/>
  <c r="E16" i="2"/>
  <c r="C21" i="18"/>
  <c r="AE21" i="18" s="1"/>
  <c r="D23" i="7"/>
  <c r="C27" i="18"/>
  <c r="D29" i="7"/>
  <c r="Z9" i="18"/>
  <c r="AA9" i="18"/>
  <c r="AE9" i="18"/>
  <c r="C26" i="18"/>
  <c r="D28" i="7"/>
  <c r="C25" i="18"/>
  <c r="AA25" i="18" s="1"/>
  <c r="D27" i="7"/>
  <c r="L116" i="6"/>
  <c r="M115" i="6" s="1"/>
  <c r="K255" i="6"/>
  <c r="K256" i="6"/>
  <c r="J257" i="6"/>
  <c r="L252" i="6"/>
  <c r="C13" i="17"/>
  <c r="A23" i="17"/>
  <c r="C77" i="2"/>
  <c r="C77" i="18" s="1"/>
  <c r="AE50" i="18"/>
  <c r="AE49" i="18"/>
  <c r="AA47" i="18"/>
  <c r="Z46" i="18"/>
  <c r="AA45" i="18"/>
  <c r="AA44" i="18"/>
  <c r="Z42" i="18"/>
  <c r="AA41" i="18"/>
  <c r="Z40" i="18"/>
  <c r="C68" i="2"/>
  <c r="C69" i="2"/>
  <c r="D68" i="7" s="1"/>
  <c r="C70" i="2"/>
  <c r="C85" i="2"/>
  <c r="C68" i="18"/>
  <c r="C86" i="18"/>
  <c r="C19" i="18"/>
  <c r="C80" i="2"/>
  <c r="C71" i="18"/>
  <c r="C36" i="2"/>
  <c r="C28" i="2"/>
  <c r="AA18" i="18"/>
  <c r="AE18" i="18"/>
  <c r="AE24" i="18"/>
  <c r="AE23" i="18"/>
  <c r="AE6" i="18"/>
  <c r="AE8" i="18"/>
  <c r="AE79" i="18"/>
  <c r="AE78" i="18"/>
  <c r="C5" i="2"/>
  <c r="AR5" i="2" s="1"/>
  <c r="C5" i="18"/>
  <c r="AE5" i="18" s="1"/>
  <c r="C8" i="2"/>
  <c r="AA6" i="18"/>
  <c r="C7" i="2"/>
  <c r="Z8" i="18"/>
  <c r="AA8" i="18"/>
  <c r="C6" i="2"/>
  <c r="AR6" i="2" s="1"/>
  <c r="Y99" i="18"/>
  <c r="Z7" i="18"/>
  <c r="AA7" i="18"/>
  <c r="C15" i="2"/>
  <c r="Z25" i="18"/>
  <c r="AA17" i="18"/>
  <c r="Z17" i="18"/>
  <c r="Z24" i="18"/>
  <c r="W99" i="18"/>
  <c r="C9" i="2"/>
  <c r="I34" i="17"/>
  <c r="K34" i="17"/>
  <c r="J34" i="17"/>
  <c r="L34" i="17"/>
  <c r="I92" i="17"/>
  <c r="I93" i="17" s="1"/>
  <c r="J92" i="17"/>
  <c r="J93" i="17" s="1"/>
  <c r="L92" i="17"/>
  <c r="L93" i="17" s="1"/>
  <c r="M34" i="17"/>
  <c r="K92" i="17"/>
  <c r="K93" i="17" s="1"/>
  <c r="M92" i="17"/>
  <c r="M93" i="17" s="1"/>
  <c r="G92" i="17"/>
  <c r="G93" i="17" s="1"/>
  <c r="H34" i="17"/>
  <c r="G34" i="17"/>
  <c r="H92" i="17"/>
  <c r="H93" i="17" s="1"/>
  <c r="F34" i="17"/>
  <c r="F92" i="17"/>
  <c r="F93" i="17" s="1"/>
  <c r="D93" i="17"/>
  <c r="E34" i="17"/>
  <c r="E92" i="17"/>
  <c r="E93" i="17" s="1"/>
  <c r="AE27" i="18" l="1"/>
  <c r="AA27" i="18"/>
  <c r="Z27" i="18"/>
  <c r="AE26" i="18"/>
  <c r="AA26" i="18"/>
  <c r="Z26" i="18"/>
  <c r="D30" i="7"/>
  <c r="AH30" i="7" s="1"/>
  <c r="AR28" i="2"/>
  <c r="C75" i="2"/>
  <c r="AA22" i="18"/>
  <c r="Z22" i="18"/>
  <c r="Z23" i="18"/>
  <c r="AE16" i="18"/>
  <c r="AA21" i="18"/>
  <c r="Z21" i="18"/>
  <c r="AA16" i="18"/>
  <c r="AE25" i="18"/>
  <c r="C36" i="18"/>
  <c r="Z36" i="18" s="1"/>
  <c r="C66" i="2"/>
  <c r="C66" i="18" s="1"/>
  <c r="Z105" i="18"/>
  <c r="Z107" i="18" s="1"/>
  <c r="C15" i="18"/>
  <c r="Z15" i="18" s="1"/>
  <c r="D17" i="7"/>
  <c r="AH17" i="7" s="1"/>
  <c r="AE20" i="18"/>
  <c r="Z20" i="18"/>
  <c r="C85" i="18"/>
  <c r="C70" i="18"/>
  <c r="D69" i="7"/>
  <c r="M116" i="6"/>
  <c r="N115" i="6" s="1"/>
  <c r="L255" i="6"/>
  <c r="L256" i="6"/>
  <c r="K257" i="6"/>
  <c r="M252" i="6"/>
  <c r="AE48" i="18"/>
  <c r="AA37" i="18"/>
  <c r="Z37" i="18"/>
  <c r="AE37" i="18"/>
  <c r="AE47" i="18"/>
  <c r="Z77" i="18"/>
  <c r="AA77" i="18"/>
  <c r="C91" i="2"/>
  <c r="AE77" i="18"/>
  <c r="AE44" i="18"/>
  <c r="Z43" i="18"/>
  <c r="AE45" i="18"/>
  <c r="AA43" i="18"/>
  <c r="Z47" i="18"/>
  <c r="AE46" i="18"/>
  <c r="Z45" i="18"/>
  <c r="AA46" i="18"/>
  <c r="Z41" i="18"/>
  <c r="AE43" i="18"/>
  <c r="AE51" i="18"/>
  <c r="AE40" i="18"/>
  <c r="AE41" i="18"/>
  <c r="Z44" i="18"/>
  <c r="AA38" i="18"/>
  <c r="AE42" i="18"/>
  <c r="Z51" i="18"/>
  <c r="AA40" i="18"/>
  <c r="Z38" i="18"/>
  <c r="Z50" i="18"/>
  <c r="Z39" i="18"/>
  <c r="AA51" i="18"/>
  <c r="AA42" i="18"/>
  <c r="AA39" i="18"/>
  <c r="AE38" i="18"/>
  <c r="AE39" i="18"/>
  <c r="D78" i="7"/>
  <c r="AH78" i="7" s="1"/>
  <c r="AR80" i="2"/>
  <c r="C69" i="18"/>
  <c r="AE52" i="18"/>
  <c r="AA19" i="18"/>
  <c r="Z19" i="18"/>
  <c r="C13" i="2"/>
  <c r="AE19" i="18"/>
  <c r="C80" i="18"/>
  <c r="AE80" i="18" s="1"/>
  <c r="C83" i="2"/>
  <c r="C97" i="2" s="1"/>
  <c r="C28" i="18"/>
  <c r="C33" i="2"/>
  <c r="D93" i="18"/>
  <c r="D97" i="18" s="1"/>
  <c r="C75" i="18"/>
  <c r="A22" i="17"/>
  <c r="A20" i="17"/>
  <c r="A21" i="17"/>
  <c r="AE28" i="18" l="1"/>
  <c r="AA28" i="18"/>
  <c r="Z28" i="18"/>
  <c r="AE36" i="18"/>
  <c r="AA36" i="18"/>
  <c r="AE15" i="18"/>
  <c r="AA15" i="18"/>
  <c r="AA80" i="18"/>
  <c r="Z80" i="18"/>
  <c r="N116" i="6"/>
  <c r="O115" i="6" s="1"/>
  <c r="M255" i="6"/>
  <c r="M256" i="6"/>
  <c r="L257" i="6"/>
  <c r="N252" i="6"/>
  <c r="AB97" i="18"/>
  <c r="C34" i="2"/>
  <c r="C33" i="18"/>
  <c r="F51" i="5"/>
  <c r="D51" i="5"/>
  <c r="C51" i="5"/>
  <c r="E51" i="5"/>
  <c r="G51" i="5"/>
  <c r="B76" i="5"/>
  <c r="C75" i="5"/>
  <c r="B75" i="5"/>
  <c r="M257" i="6" l="1"/>
  <c r="AE93" i="18"/>
  <c r="AF93" i="18" s="1"/>
  <c r="AA93" i="18"/>
  <c r="AA97" i="18" s="1"/>
  <c r="G56" i="5" s="1"/>
  <c r="Z93" i="18"/>
  <c r="O116" i="6"/>
  <c r="P115" i="6" s="1"/>
  <c r="N256" i="6"/>
  <c r="N255" i="6"/>
  <c r="O252" i="6"/>
  <c r="AC97" i="18"/>
  <c r="C57" i="5"/>
  <c r="C34" i="18"/>
  <c r="C12" i="19"/>
  <c r="AM11" i="9"/>
  <c r="AM12" i="9"/>
  <c r="AM13" i="9"/>
  <c r="AM14" i="9"/>
  <c r="AM15" i="9"/>
  <c r="AM16" i="9"/>
  <c r="AM17" i="9"/>
  <c r="AM18" i="9"/>
  <c r="AM19" i="9"/>
  <c r="AM20" i="9"/>
  <c r="AM21" i="9"/>
  <c r="AM22" i="9"/>
  <c r="AM23" i="9"/>
  <c r="AM24" i="9"/>
  <c r="AM25" i="9"/>
  <c r="AM26" i="9"/>
  <c r="AM27" i="9"/>
  <c r="AM28" i="9"/>
  <c r="AM29" i="9"/>
  <c r="AM30" i="9"/>
  <c r="AM31" i="9"/>
  <c r="AM32" i="9"/>
  <c r="AM33" i="9"/>
  <c r="AM34" i="9"/>
  <c r="AM35" i="9"/>
  <c r="AM36" i="9"/>
  <c r="AM37" i="9"/>
  <c r="AM38" i="9"/>
  <c r="AM39" i="9"/>
  <c r="AM40" i="9"/>
  <c r="AM41" i="9"/>
  <c r="AM42" i="9"/>
  <c r="AM43" i="9"/>
  <c r="AM44" i="9"/>
  <c r="AM45" i="9"/>
  <c r="AM46" i="9"/>
  <c r="AM47" i="9"/>
  <c r="AM48" i="9"/>
  <c r="AM49" i="9"/>
  <c r="AM10" i="9"/>
  <c r="AM8" i="9"/>
  <c r="U40" i="9"/>
  <c r="U18" i="9"/>
  <c r="U19" i="9"/>
  <c r="U20" i="9"/>
  <c r="U21" i="9"/>
  <c r="U22" i="9"/>
  <c r="U23" i="9"/>
  <c r="U24" i="9"/>
  <c r="U25" i="9"/>
  <c r="U26" i="9"/>
  <c r="U27" i="9"/>
  <c r="U28" i="9"/>
  <c r="U29" i="9"/>
  <c r="U30" i="9"/>
  <c r="U31" i="9"/>
  <c r="U32" i="9"/>
  <c r="U33" i="9"/>
  <c r="U34" i="9"/>
  <c r="U11" i="9"/>
  <c r="U12" i="9"/>
  <c r="U13" i="9"/>
  <c r="U14" i="9"/>
  <c r="U15" i="9"/>
  <c r="U16" i="9"/>
  <c r="U17" i="9"/>
  <c r="U35" i="9"/>
  <c r="U36" i="9"/>
  <c r="U37" i="9"/>
  <c r="U38" i="9"/>
  <c r="U39" i="9"/>
  <c r="U41" i="9"/>
  <c r="U42" i="9"/>
  <c r="U43" i="9"/>
  <c r="U44" i="9"/>
  <c r="U45" i="9"/>
  <c r="U46" i="9"/>
  <c r="U47" i="9"/>
  <c r="AQ86" i="2"/>
  <c r="AQ87" i="2"/>
  <c r="AQ88" i="2"/>
  <c r="AQ85" i="2"/>
  <c r="AQ79" i="2"/>
  <c r="AQ78" i="2"/>
  <c r="AQ77" i="2"/>
  <c r="AR68" i="2"/>
  <c r="AR15" i="2"/>
  <c r="AR7" i="2"/>
  <c r="AE4" i="2"/>
  <c r="AE94" i="2" s="1"/>
  <c r="W4" i="2"/>
  <c r="W94" i="2" s="1"/>
  <c r="V4" i="2"/>
  <c r="V94" i="2" s="1"/>
  <c r="AK4" i="2"/>
  <c r="AK94" i="2" s="1"/>
  <c r="W3" i="2"/>
  <c r="V3" i="2"/>
  <c r="A1" i="2"/>
  <c r="C35" i="1"/>
  <c r="C50" i="1"/>
  <c r="E40" i="19" s="1"/>
  <c r="B18" i="1"/>
  <c r="R103" i="9"/>
  <c r="E5" i="19"/>
  <c r="E4" i="19"/>
  <c r="U7" i="9"/>
  <c r="U8" i="9"/>
  <c r="U9" i="9"/>
  <c r="AM9" i="9"/>
  <c r="U10" i="9"/>
  <c r="U48" i="9"/>
  <c r="U49" i="9"/>
  <c r="U50" i="9"/>
  <c r="AM50" i="9"/>
  <c r="U51" i="9"/>
  <c r="AM51" i="9"/>
  <c r="U52" i="9"/>
  <c r="AM52" i="9"/>
  <c r="U53" i="9"/>
  <c r="AM53" i="9"/>
  <c r="U54" i="9"/>
  <c r="AM54" i="9"/>
  <c r="U55" i="9"/>
  <c r="AM55" i="9"/>
  <c r="U56" i="9"/>
  <c r="AM56" i="9"/>
  <c r="U57" i="9"/>
  <c r="AM57" i="9"/>
  <c r="U58" i="9"/>
  <c r="AM58" i="9"/>
  <c r="U59" i="9"/>
  <c r="AM59" i="9"/>
  <c r="U60" i="9"/>
  <c r="AM60" i="9"/>
  <c r="U61" i="9"/>
  <c r="AM61" i="9"/>
  <c r="U62" i="9"/>
  <c r="AM62" i="9"/>
  <c r="U63" i="9"/>
  <c r="AM63" i="9"/>
  <c r="U64" i="9"/>
  <c r="AM64" i="9"/>
  <c r="U65" i="9"/>
  <c r="AM65" i="9"/>
  <c r="U66" i="9"/>
  <c r="AM66" i="9"/>
  <c r="U67" i="9"/>
  <c r="AM67" i="9"/>
  <c r="U68" i="9"/>
  <c r="AM68" i="9"/>
  <c r="U69" i="9"/>
  <c r="AM69" i="9"/>
  <c r="U70" i="9"/>
  <c r="AM70" i="9"/>
  <c r="U71" i="9"/>
  <c r="AM71" i="9"/>
  <c r="U72" i="9"/>
  <c r="AM72" i="9"/>
  <c r="U73" i="9"/>
  <c r="AM73" i="9"/>
  <c r="U74" i="9"/>
  <c r="AM74" i="9"/>
  <c r="U75" i="9"/>
  <c r="AM75" i="9"/>
  <c r="U76" i="9"/>
  <c r="AM76" i="9"/>
  <c r="U77" i="9"/>
  <c r="AM77" i="9"/>
  <c r="U78" i="9"/>
  <c r="AM78" i="9"/>
  <c r="U79" i="9"/>
  <c r="AM79" i="9"/>
  <c r="U80" i="9"/>
  <c r="AM80" i="9"/>
  <c r="D2" i="2" l="1"/>
  <c r="R108" i="9"/>
  <c r="D138" i="7"/>
  <c r="E138" i="7" s="1"/>
  <c r="X103" i="18"/>
  <c r="X104" i="18" s="1"/>
  <c r="V103" i="18"/>
  <c r="V104" i="18" s="1"/>
  <c r="T103" i="18"/>
  <c r="T104" i="18" s="1"/>
  <c r="P103" i="18"/>
  <c r="P104" i="18" s="1"/>
  <c r="N103" i="18"/>
  <c r="N104" i="18" s="1"/>
  <c r="J103" i="18"/>
  <c r="J104" i="18" s="1"/>
  <c r="H103" i="18"/>
  <c r="H104" i="18" s="1"/>
  <c r="F103" i="18"/>
  <c r="F104" i="18" s="1"/>
  <c r="R103" i="18"/>
  <c r="R104" i="18" s="1"/>
  <c r="L103" i="18"/>
  <c r="L104" i="18" s="1"/>
  <c r="D103" i="18"/>
  <c r="D104" i="18" s="1"/>
  <c r="S103" i="18"/>
  <c r="S104" i="18" s="1"/>
  <c r="G103" i="18"/>
  <c r="G104" i="18" s="1"/>
  <c r="Q103" i="18"/>
  <c r="Q104" i="18" s="1"/>
  <c r="E103" i="18"/>
  <c r="E104" i="18" s="1"/>
  <c r="O103" i="18"/>
  <c r="O104" i="18" s="1"/>
  <c r="Y103" i="18"/>
  <c r="Y104" i="18" s="1"/>
  <c r="M103" i="18"/>
  <c r="M104" i="18" s="1"/>
  <c r="W103" i="18"/>
  <c r="W104" i="18" s="1"/>
  <c r="K103" i="18"/>
  <c r="K104" i="18" s="1"/>
  <c r="U103" i="18"/>
  <c r="U104" i="18" s="1"/>
  <c r="I103" i="18"/>
  <c r="I104" i="18" s="1"/>
  <c r="Z97" i="18"/>
  <c r="Z101" i="18" s="1"/>
  <c r="Z103" i="18" s="1"/>
  <c r="F56" i="5"/>
  <c r="D56" i="5"/>
  <c r="E56" i="5"/>
  <c r="C56" i="5"/>
  <c r="F138" i="7"/>
  <c r="P116" i="6"/>
  <c r="Q115" i="6" s="1"/>
  <c r="N257" i="6"/>
  <c r="O256" i="6"/>
  <c r="O255" i="6"/>
  <c r="P252" i="6"/>
  <c r="E13" i="19"/>
  <c r="E2" i="2"/>
  <c r="C14" i="19"/>
  <c r="AQ93" i="2"/>
  <c r="F49" i="5" l="1"/>
  <c r="L49" i="5"/>
  <c r="M49" i="5"/>
  <c r="J49" i="5"/>
  <c r="H49" i="5"/>
  <c r="C49" i="5"/>
  <c r="I49" i="5"/>
  <c r="G49" i="5"/>
  <c r="O49" i="5"/>
  <c r="N49" i="5"/>
  <c r="E49" i="5"/>
  <c r="D49" i="5"/>
  <c r="Q49" i="5"/>
  <c r="K49" i="5"/>
  <c r="P49" i="5"/>
  <c r="Q116" i="6"/>
  <c r="R115" i="6" s="1"/>
  <c r="P256" i="6"/>
  <c r="P255" i="6"/>
  <c r="O257" i="6"/>
  <c r="Q252" i="6"/>
  <c r="E40" i="2"/>
  <c r="E42" i="2"/>
  <c r="E64" i="2"/>
  <c r="E44" i="2"/>
  <c r="E63" i="2"/>
  <c r="E38" i="2"/>
  <c r="E59" i="2"/>
  <c r="E65" i="2"/>
  <c r="E55" i="2"/>
  <c r="E61" i="2"/>
  <c r="E51" i="2"/>
  <c r="E57" i="2"/>
  <c r="E60" i="2"/>
  <c r="E47" i="2"/>
  <c r="E53" i="2"/>
  <c r="E37" i="2"/>
  <c r="E43" i="2"/>
  <c r="E49" i="2"/>
  <c r="E39" i="2"/>
  <c r="E62" i="2"/>
  <c r="E45" i="2"/>
  <c r="E56" i="2"/>
  <c r="E58" i="2"/>
  <c r="E41" i="2"/>
  <c r="E52" i="2"/>
  <c r="E54" i="2"/>
  <c r="E48" i="2"/>
  <c r="E50" i="2"/>
  <c r="E46" i="2"/>
  <c r="D12" i="2"/>
  <c r="D55" i="2"/>
  <c r="D62" i="2"/>
  <c r="D53" i="2"/>
  <c r="D58" i="2"/>
  <c r="D54" i="2"/>
  <c r="D41" i="2"/>
  <c r="D43" i="2"/>
  <c r="D61" i="2"/>
  <c r="D64" i="2"/>
  <c r="D38" i="2"/>
  <c r="D65" i="2"/>
  <c r="D56" i="2"/>
  <c r="D59" i="2"/>
  <c r="D49" i="2"/>
  <c r="D50" i="2"/>
  <c r="D46" i="2"/>
  <c r="D47" i="2"/>
  <c r="D51" i="2"/>
  <c r="D52" i="2"/>
  <c r="D17" i="2"/>
  <c r="D39" i="2"/>
  <c r="D60" i="2"/>
  <c r="D57" i="2"/>
  <c r="D44" i="2"/>
  <c r="D63" i="2"/>
  <c r="D48" i="2"/>
  <c r="D45" i="2"/>
  <c r="D40" i="2"/>
  <c r="D42" i="2"/>
  <c r="D37" i="2"/>
  <c r="AM81" i="9"/>
  <c r="D72" i="1"/>
  <c r="B10" i="1"/>
  <c r="C22" i="1"/>
  <c r="E34" i="19" s="1"/>
  <c r="C27" i="1"/>
  <c r="C36" i="19" s="1"/>
  <c r="C28" i="1"/>
  <c r="C37" i="19" s="1"/>
  <c r="C29" i="1"/>
  <c r="C30" i="1"/>
  <c r="C38" i="19" s="1"/>
  <c r="C31" i="1"/>
  <c r="C39" i="19" s="1"/>
  <c r="C32" i="1"/>
  <c r="E37" i="19" s="1"/>
  <c r="C33" i="1"/>
  <c r="C35" i="19" s="1"/>
  <c r="C34" i="1"/>
  <c r="E35" i="19" s="1"/>
  <c r="C45" i="1"/>
  <c r="C46" i="1"/>
  <c r="E36" i="19" s="1"/>
  <c r="C47" i="1"/>
  <c r="E38" i="19" s="1"/>
  <c r="C48" i="1"/>
  <c r="E39" i="19" s="1"/>
  <c r="C49" i="1"/>
  <c r="C40" i="19" s="1"/>
  <c r="C21" i="1"/>
  <c r="C34" i="19" s="1"/>
  <c r="R116" i="6" l="1"/>
  <c r="S115" i="6" s="1"/>
  <c r="P257" i="6"/>
  <c r="Q255" i="6"/>
  <c r="Q256" i="6"/>
  <c r="R252" i="6"/>
  <c r="C56" i="1"/>
  <c r="AH4" i="2"/>
  <c r="AH94" i="2" s="1"/>
  <c r="AH3" i="2"/>
  <c r="S116" i="6" l="1"/>
  <c r="T115" i="6" s="1"/>
  <c r="Q257" i="6"/>
  <c r="R256" i="6"/>
  <c r="R255" i="6"/>
  <c r="S252" i="6"/>
  <c r="E41" i="11"/>
  <c r="R257" i="6" l="1"/>
  <c r="T116" i="6"/>
  <c r="U115" i="6" s="1"/>
  <c r="S255" i="6"/>
  <c r="S256" i="6"/>
  <c r="T252" i="6"/>
  <c r="D6" i="11"/>
  <c r="U116" i="6" l="1"/>
  <c r="V115" i="6" s="1"/>
  <c r="T255" i="6"/>
  <c r="T256" i="6"/>
  <c r="S257" i="6"/>
  <c r="U252" i="6"/>
  <c r="D92" i="7"/>
  <c r="AH92" i="7" s="1"/>
  <c r="B92" i="7"/>
  <c r="V116" i="6" l="1"/>
  <c r="W115" i="6" s="1"/>
  <c r="U256" i="6"/>
  <c r="U255" i="6"/>
  <c r="T257" i="6"/>
  <c r="V252" i="6"/>
  <c r="D129" i="7"/>
  <c r="B5" i="6"/>
  <c r="B9" i="6" s="1"/>
  <c r="W116" i="6" l="1"/>
  <c r="X115" i="6" s="1"/>
  <c r="V256" i="6"/>
  <c r="V255" i="6"/>
  <c r="U257" i="6"/>
  <c r="W252" i="6"/>
  <c r="B10" i="6"/>
  <c r="B13" i="6"/>
  <c r="F141" i="7"/>
  <c r="G141" i="7"/>
  <c r="H141" i="7"/>
  <c r="I141" i="7"/>
  <c r="J141" i="7"/>
  <c r="K141" i="7"/>
  <c r="L141" i="7"/>
  <c r="B232" i="6"/>
  <c r="B229" i="6"/>
  <c r="B237" i="6" s="1"/>
  <c r="AJ4" i="2"/>
  <c r="AJ94" i="2" s="1"/>
  <c r="AI4" i="2"/>
  <c r="AI94" i="2" s="1"/>
  <c r="AG4" i="2"/>
  <c r="AG94" i="2" s="1"/>
  <c r="AF4" i="2"/>
  <c r="AF94" i="2" s="1"/>
  <c r="U4" i="2"/>
  <c r="U94" i="2" s="1"/>
  <c r="T4" i="2"/>
  <c r="T94" i="2" s="1"/>
  <c r="S4" i="2"/>
  <c r="S94" i="2" s="1"/>
  <c r="R4" i="2"/>
  <c r="R94" i="2" s="1"/>
  <c r="Q4" i="2"/>
  <c r="Q94" i="2" s="1"/>
  <c r="P4" i="2"/>
  <c r="P94" i="2" s="1"/>
  <c r="O4" i="2"/>
  <c r="O94" i="2" s="1"/>
  <c r="N4" i="2"/>
  <c r="N94" i="2" s="1"/>
  <c r="I4" i="2"/>
  <c r="I94" i="2" s="1"/>
  <c r="AK3" i="2"/>
  <c r="AJ3" i="2"/>
  <c r="AI3" i="2"/>
  <c r="AG3" i="2"/>
  <c r="AF3" i="2"/>
  <c r="U3" i="2"/>
  <c r="T3" i="2"/>
  <c r="X116" i="6" l="1"/>
  <c r="Y115" i="6" s="1"/>
  <c r="V257" i="6"/>
  <c r="W256" i="6"/>
  <c r="W255" i="6"/>
  <c r="X252" i="6"/>
  <c r="B233" i="6"/>
  <c r="A122" i="6"/>
  <c r="A227" i="6"/>
  <c r="C236" i="6"/>
  <c r="C238" i="6" s="1"/>
  <c r="B212" i="6"/>
  <c r="B211" i="6"/>
  <c r="A209" i="6"/>
  <c r="B196" i="6"/>
  <c r="B195" i="6"/>
  <c r="B198" i="6" s="1"/>
  <c r="B199" i="6" s="1"/>
  <c r="A192" i="6"/>
  <c r="B177" i="6"/>
  <c r="B176" i="6"/>
  <c r="A174" i="6"/>
  <c r="B159" i="6"/>
  <c r="B158" i="6"/>
  <c r="A156" i="6"/>
  <c r="C219" i="6"/>
  <c r="C201" i="6"/>
  <c r="C204" i="6" s="1"/>
  <c r="C184" i="6"/>
  <c r="C166" i="6"/>
  <c r="B142" i="6"/>
  <c r="B141" i="6"/>
  <c r="A139" i="6"/>
  <c r="S3" i="2"/>
  <c r="R3" i="2"/>
  <c r="Q3" i="2"/>
  <c r="P3" i="2"/>
  <c r="O3" i="2"/>
  <c r="N3" i="2"/>
  <c r="I3" i="2"/>
  <c r="C240" i="6" l="1"/>
  <c r="B185" i="6"/>
  <c r="B180" i="6"/>
  <c r="B181" i="6" s="1"/>
  <c r="B145" i="6"/>
  <c r="B146" i="6" s="1"/>
  <c r="B220" i="6"/>
  <c r="B215" i="6"/>
  <c r="B216" i="6" s="1"/>
  <c r="B167" i="6"/>
  <c r="B162" i="6"/>
  <c r="B163" i="6" s="1"/>
  <c r="Y116" i="6"/>
  <c r="Z115" i="6" s="1"/>
  <c r="D184" i="6"/>
  <c r="C187" i="6"/>
  <c r="D219" i="6"/>
  <c r="C222" i="6"/>
  <c r="X256" i="6"/>
  <c r="X255" i="6"/>
  <c r="W257" i="6"/>
  <c r="Y252" i="6"/>
  <c r="B188" i="6"/>
  <c r="B186" i="6" s="1"/>
  <c r="D166" i="6"/>
  <c r="C169" i="6"/>
  <c r="B202" i="6"/>
  <c r="B223" i="6"/>
  <c r="B224" i="6" s="1"/>
  <c r="B238" i="6"/>
  <c r="B170" i="6"/>
  <c r="B171" i="6" s="1"/>
  <c r="D201" i="6"/>
  <c r="D204" i="6" s="1"/>
  <c r="B234" i="6"/>
  <c r="D236" i="6"/>
  <c r="E236" i="6" s="1"/>
  <c r="F236" i="6" s="1"/>
  <c r="G236" i="6" s="1"/>
  <c r="H236" i="6" s="1"/>
  <c r="I236" i="6" s="1"/>
  <c r="J236" i="6" s="1"/>
  <c r="K236" i="6" s="1"/>
  <c r="L236" i="6" s="1"/>
  <c r="M236" i="6" s="1"/>
  <c r="N236" i="6" s="1"/>
  <c r="O236" i="6" s="1"/>
  <c r="P236" i="6" s="1"/>
  <c r="Q236" i="6" s="1"/>
  <c r="R236" i="6" s="1"/>
  <c r="S236" i="6" s="1"/>
  <c r="T236" i="6" s="1"/>
  <c r="U236" i="6" s="1"/>
  <c r="V236" i="6" s="1"/>
  <c r="W236" i="6" s="1"/>
  <c r="X236" i="6" s="1"/>
  <c r="Y236" i="6" s="1"/>
  <c r="Z236" i="6" s="1"/>
  <c r="AA236" i="6" s="1"/>
  <c r="AB236" i="6" s="1"/>
  <c r="AC236" i="6" s="1"/>
  <c r="AD236" i="6" s="1"/>
  <c r="AE236" i="6" s="1"/>
  <c r="AE238" i="6" s="1"/>
  <c r="D237" i="6"/>
  <c r="Z116" i="6" l="1"/>
  <c r="AA115" i="6" s="1"/>
  <c r="E219" i="6"/>
  <c r="D222" i="6"/>
  <c r="C237" i="6"/>
  <c r="C239" i="6" s="1"/>
  <c r="C241" i="6" s="1"/>
  <c r="B239" i="6"/>
  <c r="B240" i="6" s="1"/>
  <c r="E184" i="6"/>
  <c r="D187" i="6"/>
  <c r="B189" i="6"/>
  <c r="Y256" i="6"/>
  <c r="Y255" i="6"/>
  <c r="B168" i="6"/>
  <c r="C167" i="6" s="1"/>
  <c r="C170" i="6" s="1"/>
  <c r="C171" i="6" s="1"/>
  <c r="B221" i="6"/>
  <c r="C220" i="6" s="1"/>
  <c r="C223" i="6" s="1"/>
  <c r="C224" i="6" s="1"/>
  <c r="X257" i="6"/>
  <c r="Z252" i="6"/>
  <c r="B205" i="6"/>
  <c r="B206" i="6" s="1"/>
  <c r="E166" i="6"/>
  <c r="D169" i="6"/>
  <c r="E201" i="6"/>
  <c r="E204" i="6" s="1"/>
  <c r="D239" i="6"/>
  <c r="L238" i="6"/>
  <c r="M237" i="6" s="1"/>
  <c r="M239" i="6" s="1"/>
  <c r="R238" i="6"/>
  <c r="S237" i="6" s="1"/>
  <c r="S239" i="6" s="1"/>
  <c r="J238" i="6"/>
  <c r="K237" i="6" s="1"/>
  <c r="K239" i="6" s="1"/>
  <c r="Z238" i="6"/>
  <c r="AA237" i="6" s="1"/>
  <c r="AA239" i="6" s="1"/>
  <c r="Y238" i="6"/>
  <c r="Z237" i="6" s="1"/>
  <c r="Z239" i="6" s="1"/>
  <c r="P238" i="6"/>
  <c r="Q237" i="6" s="1"/>
  <c r="Q239" i="6" s="1"/>
  <c r="H238" i="6"/>
  <c r="I237" i="6" s="1"/>
  <c r="I239" i="6" s="1"/>
  <c r="I238" i="6"/>
  <c r="J237" i="6" s="1"/>
  <c r="J239" i="6" s="1"/>
  <c r="AD238" i="6"/>
  <c r="AE237" i="6" s="1"/>
  <c r="AE239" i="6" s="1"/>
  <c r="U238" i="6"/>
  <c r="V237" i="6" s="1"/>
  <c r="V239" i="6" s="1"/>
  <c r="D238" i="6"/>
  <c r="E237" i="6" s="1"/>
  <c r="E239" i="6" s="1"/>
  <c r="E238" i="6"/>
  <c r="F237" i="6" s="1"/>
  <c r="F239" i="6" s="1"/>
  <c r="T238" i="6"/>
  <c r="U237" i="6" s="1"/>
  <c r="U239" i="6" s="1"/>
  <c r="Q238" i="6"/>
  <c r="R237" i="6" s="1"/>
  <c r="R239" i="6" s="1"/>
  <c r="F238" i="6"/>
  <c r="G237" i="6" s="1"/>
  <c r="G239" i="6" s="1"/>
  <c r="M238" i="6"/>
  <c r="N237" i="6" s="1"/>
  <c r="N239" i="6" s="1"/>
  <c r="AB238" i="6"/>
  <c r="AC237" i="6" s="1"/>
  <c r="AC239" i="6" s="1"/>
  <c r="AA238" i="6"/>
  <c r="AB237" i="6" s="1"/>
  <c r="AB239" i="6" s="1"/>
  <c r="W238" i="6"/>
  <c r="X237" i="6" s="1"/>
  <c r="X239" i="6" s="1"/>
  <c r="O238" i="6"/>
  <c r="P237" i="6" s="1"/>
  <c r="P239" i="6" s="1"/>
  <c r="S238" i="6"/>
  <c r="T237" i="6" s="1"/>
  <c r="T239" i="6" s="1"/>
  <c r="G238" i="6"/>
  <c r="H237" i="6" s="1"/>
  <c r="H239" i="6" s="1"/>
  <c r="K238" i="6"/>
  <c r="L237" i="6" s="1"/>
  <c r="L239" i="6" s="1"/>
  <c r="X238" i="6"/>
  <c r="Y237" i="6" s="1"/>
  <c r="Y239" i="6" s="1"/>
  <c r="V238" i="6"/>
  <c r="W237" i="6" s="1"/>
  <c r="W239" i="6" s="1"/>
  <c r="N238" i="6"/>
  <c r="O237" i="6" s="1"/>
  <c r="O239" i="6" s="1"/>
  <c r="AC238" i="6"/>
  <c r="AD237" i="6" s="1"/>
  <c r="AD239" i="6" s="1"/>
  <c r="C185" i="6"/>
  <c r="AB240" i="6"/>
  <c r="O240" i="6"/>
  <c r="U240" i="6"/>
  <c r="D240" i="6"/>
  <c r="Q240" i="6"/>
  <c r="AA240" i="6"/>
  <c r="H240" i="6"/>
  <c r="AC240" i="6"/>
  <c r="I240" i="6"/>
  <c r="S240" i="6"/>
  <c r="L240" i="6"/>
  <c r="X240" i="6"/>
  <c r="T240" i="6"/>
  <c r="E240" i="6"/>
  <c r="V240" i="6"/>
  <c r="F240" i="6"/>
  <c r="K240" i="6"/>
  <c r="G240" i="6"/>
  <c r="P240" i="6"/>
  <c r="W240" i="6"/>
  <c r="J240" i="6"/>
  <c r="M240" i="6"/>
  <c r="AE240" i="6"/>
  <c r="R240" i="6"/>
  <c r="Z240" i="6"/>
  <c r="Y240" i="6"/>
  <c r="N240" i="6"/>
  <c r="AD240" i="6"/>
  <c r="Y257" i="6" l="1"/>
  <c r="AA116" i="6"/>
  <c r="AB115" i="6" s="1"/>
  <c r="M241" i="6"/>
  <c r="F184" i="6"/>
  <c r="E187" i="6"/>
  <c r="F219" i="6"/>
  <c r="E222" i="6"/>
  <c r="B241" i="6"/>
  <c r="Z256" i="6"/>
  <c r="Z255" i="6"/>
  <c r="Z257" i="6" s="1"/>
  <c r="AA252" i="6"/>
  <c r="F166" i="6"/>
  <c r="E169" i="6"/>
  <c r="C188" i="6"/>
  <c r="C189" i="6" s="1"/>
  <c r="B203" i="6"/>
  <c r="C202" i="6" s="1"/>
  <c r="F201" i="6"/>
  <c r="F204" i="6" s="1"/>
  <c r="D241" i="6"/>
  <c r="V241" i="6"/>
  <c r="AE241" i="6"/>
  <c r="F241" i="6"/>
  <c r="E241" i="6"/>
  <c r="U241" i="6"/>
  <c r="AB241" i="6"/>
  <c r="T241" i="6"/>
  <c r="G241" i="6"/>
  <c r="N241" i="6"/>
  <c r="H241" i="6"/>
  <c r="X241" i="6"/>
  <c r="AC241" i="6"/>
  <c r="W241" i="6"/>
  <c r="O241" i="6"/>
  <c r="L241" i="6"/>
  <c r="AD241" i="6"/>
  <c r="P241" i="6"/>
  <c r="I241" i="6"/>
  <c r="R241" i="6"/>
  <c r="Q241" i="6"/>
  <c r="K241" i="6"/>
  <c r="AA241" i="6"/>
  <c r="Y241" i="6"/>
  <c r="Z241" i="6"/>
  <c r="J241" i="6"/>
  <c r="S241" i="6"/>
  <c r="C221" i="6"/>
  <c r="D220" i="6" s="1"/>
  <c r="D223" i="6" s="1"/>
  <c r="D224" i="6" s="1"/>
  <c r="C168" i="6"/>
  <c r="D167" i="6" s="1"/>
  <c r="D170" i="6" s="1"/>
  <c r="AB116" i="6" l="1"/>
  <c r="AC115" i="6" s="1"/>
  <c r="G219" i="6"/>
  <c r="F222" i="6"/>
  <c r="G184" i="6"/>
  <c r="F187" i="6"/>
  <c r="AA256" i="6"/>
  <c r="AA255" i="6"/>
  <c r="C186" i="6"/>
  <c r="D185" i="6" s="1"/>
  <c r="D188" i="6" s="1"/>
  <c r="D189" i="6" s="1"/>
  <c r="AB252" i="6"/>
  <c r="C205" i="6"/>
  <c r="C206" i="6" s="1"/>
  <c r="G166" i="6"/>
  <c r="F169" i="6"/>
  <c r="G201" i="6"/>
  <c r="G204" i="6" s="1"/>
  <c r="D221" i="6"/>
  <c r="E220" i="6" s="1"/>
  <c r="E223" i="6" s="1"/>
  <c r="E224" i="6" s="1"/>
  <c r="D171" i="6"/>
  <c r="AC116" i="6" l="1"/>
  <c r="AD115" i="6" s="1"/>
  <c r="C203" i="6"/>
  <c r="D202" i="6" s="1"/>
  <c r="D205" i="6" s="1"/>
  <c r="D203" i="6" s="1"/>
  <c r="E202" i="6" s="1"/>
  <c r="H184" i="6"/>
  <c r="G187" i="6"/>
  <c r="H219" i="6"/>
  <c r="G222" i="6"/>
  <c r="AA257" i="6"/>
  <c r="AB255" i="6"/>
  <c r="AB256" i="6"/>
  <c r="D186" i="6"/>
  <c r="E185" i="6" s="1"/>
  <c r="E188" i="6" s="1"/>
  <c r="E189" i="6" s="1"/>
  <c r="AC252" i="6"/>
  <c r="H166" i="6"/>
  <c r="G169" i="6"/>
  <c r="H201" i="6"/>
  <c r="H204" i="6" s="1"/>
  <c r="E221" i="6"/>
  <c r="F220" i="6" s="1"/>
  <c r="F223" i="6" s="1"/>
  <c r="F224" i="6" s="1"/>
  <c r="D168" i="6"/>
  <c r="E167" i="6" s="1"/>
  <c r="E170" i="6" s="1"/>
  <c r="AD116" i="6" l="1"/>
  <c r="AE115" i="6" s="1"/>
  <c r="I219" i="6"/>
  <c r="H222" i="6"/>
  <c r="D206" i="6"/>
  <c r="I184" i="6"/>
  <c r="H187" i="6"/>
  <c r="AC256" i="6"/>
  <c r="AC255" i="6"/>
  <c r="E186" i="6"/>
  <c r="F185" i="6" s="1"/>
  <c r="F188" i="6" s="1"/>
  <c r="F189" i="6" s="1"/>
  <c r="AB257" i="6"/>
  <c r="AD252" i="6"/>
  <c r="E205" i="6"/>
  <c r="E206" i="6" s="1"/>
  <c r="I166" i="6"/>
  <c r="H169" i="6"/>
  <c r="I201" i="6"/>
  <c r="I204" i="6" s="1"/>
  <c r="F221" i="6"/>
  <c r="G220" i="6" s="1"/>
  <c r="G223" i="6" s="1"/>
  <c r="G224" i="6" s="1"/>
  <c r="E171" i="6"/>
  <c r="AE116" i="6" l="1"/>
  <c r="E203" i="6"/>
  <c r="F202" i="6" s="1"/>
  <c r="F205" i="6" s="1"/>
  <c r="J184" i="6"/>
  <c r="I187" i="6"/>
  <c r="J219" i="6"/>
  <c r="I222" i="6"/>
  <c r="AD256" i="6"/>
  <c r="AD255" i="6"/>
  <c r="AC257" i="6"/>
  <c r="AE252" i="6"/>
  <c r="J166" i="6"/>
  <c r="I169" i="6"/>
  <c r="E168" i="6"/>
  <c r="F167" i="6" s="1"/>
  <c r="J201" i="6"/>
  <c r="J204" i="6" s="1"/>
  <c r="G221" i="6"/>
  <c r="H220" i="6" s="1"/>
  <c r="F186" i="6"/>
  <c r="G185" i="6" s="1"/>
  <c r="G188" i="6" s="1"/>
  <c r="K219" i="6" l="1"/>
  <c r="J222" i="6"/>
  <c r="K184" i="6"/>
  <c r="J187" i="6"/>
  <c r="AD257" i="6"/>
  <c r="AE255" i="6"/>
  <c r="AE256" i="6"/>
  <c r="K166" i="6"/>
  <c r="J169" i="6"/>
  <c r="F170" i="6"/>
  <c r="F171" i="6" s="1"/>
  <c r="K201" i="6"/>
  <c r="K204" i="6" s="1"/>
  <c r="H223" i="6"/>
  <c r="H224" i="6" s="1"/>
  <c r="F206" i="6"/>
  <c r="G189" i="6"/>
  <c r="F168" i="6" l="1"/>
  <c r="G167" i="6" s="1"/>
  <c r="G170" i="6" s="1"/>
  <c r="G171" i="6" s="1"/>
  <c r="L184" i="6"/>
  <c r="K187" i="6"/>
  <c r="L219" i="6"/>
  <c r="K222" i="6"/>
  <c r="AE257" i="6"/>
  <c r="L166" i="6"/>
  <c r="K169" i="6"/>
  <c r="L201" i="6"/>
  <c r="L204" i="6" s="1"/>
  <c r="H221" i="6"/>
  <c r="I220" i="6" s="1"/>
  <c r="F203" i="6"/>
  <c r="G202" i="6" s="1"/>
  <c r="G205" i="6" s="1"/>
  <c r="G186" i="6"/>
  <c r="H185" i="6" s="1"/>
  <c r="H188" i="6" s="1"/>
  <c r="M219" i="6" l="1"/>
  <c r="L222" i="6"/>
  <c r="G168" i="6"/>
  <c r="H167" i="6" s="1"/>
  <c r="H170" i="6" s="1"/>
  <c r="M184" i="6"/>
  <c r="L187" i="6"/>
  <c r="M166" i="6"/>
  <c r="L169" i="6"/>
  <c r="M201" i="6"/>
  <c r="M204" i="6" s="1"/>
  <c r="I223" i="6"/>
  <c r="I224" i="6" s="1"/>
  <c r="G206" i="6"/>
  <c r="H189" i="6"/>
  <c r="H171" i="6"/>
  <c r="N184" i="6" l="1"/>
  <c r="M187" i="6"/>
  <c r="N219" i="6"/>
  <c r="M222" i="6"/>
  <c r="N166" i="6"/>
  <c r="M169" i="6"/>
  <c r="N201" i="6"/>
  <c r="N204" i="6" s="1"/>
  <c r="I221" i="6"/>
  <c r="J220" i="6" s="1"/>
  <c r="J223" i="6" s="1"/>
  <c r="J224" i="6" s="1"/>
  <c r="G203" i="6"/>
  <c r="H202" i="6" s="1"/>
  <c r="H205" i="6" s="1"/>
  <c r="H186" i="6"/>
  <c r="I185" i="6" s="1"/>
  <c r="I188" i="6" s="1"/>
  <c r="H168" i="6"/>
  <c r="I167" i="6" s="1"/>
  <c r="I170" i="6" s="1"/>
  <c r="O219" i="6" l="1"/>
  <c r="N222" i="6"/>
  <c r="O184" i="6"/>
  <c r="N187" i="6"/>
  <c r="O166" i="6"/>
  <c r="N169" i="6"/>
  <c r="O201" i="6"/>
  <c r="O204" i="6" s="1"/>
  <c r="J221" i="6"/>
  <c r="K220" i="6" s="1"/>
  <c r="H206" i="6"/>
  <c r="I189" i="6"/>
  <c r="I171" i="6"/>
  <c r="P184" i="6" l="1"/>
  <c r="O187" i="6"/>
  <c r="P219" i="6"/>
  <c r="O222" i="6"/>
  <c r="P166" i="6"/>
  <c r="O169" i="6"/>
  <c r="P201" i="6"/>
  <c r="P204" i="6" s="1"/>
  <c r="K223" i="6"/>
  <c r="K224" i="6" s="1"/>
  <c r="H203" i="6"/>
  <c r="I202" i="6" s="1"/>
  <c r="I205" i="6" s="1"/>
  <c r="I186" i="6"/>
  <c r="J185" i="6" s="1"/>
  <c r="J188" i="6" s="1"/>
  <c r="I168" i="6"/>
  <c r="J167" i="6" s="1"/>
  <c r="J170" i="6" s="1"/>
  <c r="Q219" i="6" l="1"/>
  <c r="P222" i="6"/>
  <c r="Q184" i="6"/>
  <c r="P187" i="6"/>
  <c r="Q166" i="6"/>
  <c r="P169" i="6"/>
  <c r="Q201" i="6"/>
  <c r="Q204" i="6" s="1"/>
  <c r="K221" i="6"/>
  <c r="L220" i="6" s="1"/>
  <c r="I206" i="6"/>
  <c r="J189" i="6"/>
  <c r="J171" i="6"/>
  <c r="R184" i="6" l="1"/>
  <c r="Q187" i="6"/>
  <c r="R219" i="6"/>
  <c r="Q222" i="6"/>
  <c r="R166" i="6"/>
  <c r="Q169" i="6"/>
  <c r="R201" i="6"/>
  <c r="R204" i="6" s="1"/>
  <c r="I203" i="6"/>
  <c r="J202" i="6" s="1"/>
  <c r="J205" i="6" s="1"/>
  <c r="L223" i="6"/>
  <c r="L224" i="6" s="1"/>
  <c r="J186" i="6"/>
  <c r="K185" i="6" s="1"/>
  <c r="K188" i="6" s="1"/>
  <c r="J168" i="6"/>
  <c r="K167" i="6" s="1"/>
  <c r="K170" i="6" s="1"/>
  <c r="S219" i="6" l="1"/>
  <c r="R222" i="6"/>
  <c r="S184" i="6"/>
  <c r="R187" i="6"/>
  <c r="S166" i="6"/>
  <c r="R169" i="6"/>
  <c r="S201" i="6"/>
  <c r="S204" i="6" s="1"/>
  <c r="J206" i="6"/>
  <c r="L221" i="6"/>
  <c r="M220" i="6" s="1"/>
  <c r="M223" i="6" s="1"/>
  <c r="M224" i="6" s="1"/>
  <c r="J203" i="6"/>
  <c r="K202" i="6" s="1"/>
  <c r="K205" i="6" s="1"/>
  <c r="K189" i="6"/>
  <c r="K171" i="6"/>
  <c r="T184" i="6" l="1"/>
  <c r="S187" i="6"/>
  <c r="T219" i="6"/>
  <c r="S222" i="6"/>
  <c r="T166" i="6"/>
  <c r="S169" i="6"/>
  <c r="T201" i="6"/>
  <c r="T204" i="6" s="1"/>
  <c r="K186" i="6"/>
  <c r="L185" i="6" s="1"/>
  <c r="M221" i="6"/>
  <c r="N220" i="6" s="1"/>
  <c r="N223" i="6" s="1"/>
  <c r="N224" i="6" s="1"/>
  <c r="K206" i="6"/>
  <c r="K168" i="6"/>
  <c r="L167" i="6" s="1"/>
  <c r="L170" i="6" s="1"/>
  <c r="U219" i="6" l="1"/>
  <c r="T222" i="6"/>
  <c r="U184" i="6"/>
  <c r="T187" i="6"/>
  <c r="U166" i="6"/>
  <c r="T169" i="6"/>
  <c r="L188" i="6"/>
  <c r="L189" i="6" s="1"/>
  <c r="U201" i="6"/>
  <c r="U204" i="6" s="1"/>
  <c r="K203" i="6"/>
  <c r="L202" i="6" s="1"/>
  <c r="L205" i="6" s="1"/>
  <c r="L186" i="6"/>
  <c r="M185" i="6" s="1"/>
  <c r="N221" i="6"/>
  <c r="O220" i="6" s="1"/>
  <c r="L171" i="6"/>
  <c r="V184" i="6" l="1"/>
  <c r="U187" i="6"/>
  <c r="V219" i="6"/>
  <c r="U222" i="6"/>
  <c r="V166" i="6"/>
  <c r="U169" i="6"/>
  <c r="M188" i="6"/>
  <c r="M189" i="6" s="1"/>
  <c r="V201" i="6"/>
  <c r="V204" i="6" s="1"/>
  <c r="L206" i="6"/>
  <c r="L203" i="6"/>
  <c r="M202" i="6" s="1"/>
  <c r="M205" i="6" s="1"/>
  <c r="O223" i="6"/>
  <c r="O224" i="6" s="1"/>
  <c r="M186" i="6"/>
  <c r="N185" i="6" s="1"/>
  <c r="N188" i="6" s="1"/>
  <c r="L168" i="6"/>
  <c r="M167" i="6" s="1"/>
  <c r="M170" i="6" s="1"/>
  <c r="W219" i="6" l="1"/>
  <c r="V222" i="6"/>
  <c r="W184" i="6"/>
  <c r="V187" i="6"/>
  <c r="W166" i="6"/>
  <c r="V169" i="6"/>
  <c r="W201" i="6"/>
  <c r="W204" i="6" s="1"/>
  <c r="M206" i="6"/>
  <c r="O221" i="6"/>
  <c r="P220" i="6" s="1"/>
  <c r="P223" i="6" s="1"/>
  <c r="P224" i="6" s="1"/>
  <c r="N189" i="6"/>
  <c r="M171" i="6"/>
  <c r="X184" i="6" l="1"/>
  <c r="W187" i="6"/>
  <c r="X219" i="6"/>
  <c r="W222" i="6"/>
  <c r="X166" i="6"/>
  <c r="W169" i="6"/>
  <c r="X201" i="6"/>
  <c r="X204" i="6" s="1"/>
  <c r="M203" i="6"/>
  <c r="N202" i="6" s="1"/>
  <c r="M168" i="6"/>
  <c r="N167" i="6" s="1"/>
  <c r="P221" i="6"/>
  <c r="Q220" i="6" s="1"/>
  <c r="N186" i="6"/>
  <c r="O185" i="6" s="1"/>
  <c r="O188" i="6" s="1"/>
  <c r="Y219" i="6" l="1"/>
  <c r="X222" i="6"/>
  <c r="Y184" i="6"/>
  <c r="X187" i="6"/>
  <c r="Y166" i="6"/>
  <c r="X169" i="6"/>
  <c r="N205" i="6"/>
  <c r="N206" i="6" s="1"/>
  <c r="N170" i="6"/>
  <c r="N171" i="6" s="1"/>
  <c r="Y201" i="6"/>
  <c r="Y204" i="6" s="1"/>
  <c r="Q223" i="6"/>
  <c r="Q224" i="6" s="1"/>
  <c r="O189" i="6"/>
  <c r="Z184" i="6" l="1"/>
  <c r="Y187" i="6"/>
  <c r="Z219" i="6"/>
  <c r="Y222" i="6"/>
  <c r="N168" i="6"/>
  <c r="O167" i="6" s="1"/>
  <c r="O170" i="6" s="1"/>
  <c r="O171" i="6" s="1"/>
  <c r="Z166" i="6"/>
  <c r="Y169" i="6"/>
  <c r="N203" i="6"/>
  <c r="O202" i="6" s="1"/>
  <c r="O205" i="6" s="1"/>
  <c r="Z201" i="6"/>
  <c r="Z204" i="6" s="1"/>
  <c r="O206" i="6"/>
  <c r="Q221" i="6"/>
  <c r="R220" i="6" s="1"/>
  <c r="O186" i="6"/>
  <c r="P185" i="6" s="1"/>
  <c r="O168" i="6" l="1"/>
  <c r="P167" i="6" s="1"/>
  <c r="P170" i="6" s="1"/>
  <c r="AA219" i="6"/>
  <c r="Z222" i="6"/>
  <c r="O203" i="6"/>
  <c r="P202" i="6" s="1"/>
  <c r="P205" i="6" s="1"/>
  <c r="P206" i="6" s="1"/>
  <c r="AA184" i="6"/>
  <c r="Z187" i="6"/>
  <c r="AA166" i="6"/>
  <c r="Z169" i="6"/>
  <c r="P188" i="6"/>
  <c r="P189" i="6" s="1"/>
  <c r="AA201" i="6"/>
  <c r="AA204" i="6" s="1"/>
  <c r="P186" i="6"/>
  <c r="Q185" i="6" s="1"/>
  <c r="R223" i="6"/>
  <c r="R224" i="6" s="1"/>
  <c r="P171" i="6"/>
  <c r="AB184" i="6" l="1"/>
  <c r="AA187" i="6"/>
  <c r="AB219" i="6"/>
  <c r="AA222" i="6"/>
  <c r="AB166" i="6"/>
  <c r="AA169" i="6"/>
  <c r="Q188" i="6"/>
  <c r="Q189" i="6" s="1"/>
  <c r="AB201" i="6"/>
  <c r="AB204" i="6" s="1"/>
  <c r="R221" i="6"/>
  <c r="S220" i="6" s="1"/>
  <c r="S223" i="6" s="1"/>
  <c r="S224" i="6" s="1"/>
  <c r="P203" i="6"/>
  <c r="Q202" i="6" s="1"/>
  <c r="Q205" i="6" s="1"/>
  <c r="Q186" i="6"/>
  <c r="R185" i="6" s="1"/>
  <c r="R188" i="6" s="1"/>
  <c r="P168" i="6"/>
  <c r="Q167" i="6" s="1"/>
  <c r="Q170" i="6" s="1"/>
  <c r="AC219" i="6" l="1"/>
  <c r="AB222" i="6"/>
  <c r="AC184" i="6"/>
  <c r="AB187" i="6"/>
  <c r="AC166" i="6"/>
  <c r="AB169" i="6"/>
  <c r="AC201" i="6"/>
  <c r="AC204" i="6" s="1"/>
  <c r="S221" i="6"/>
  <c r="T220" i="6" s="1"/>
  <c r="T223" i="6" s="1"/>
  <c r="T224" i="6" s="1"/>
  <c r="Q206" i="6"/>
  <c r="R189" i="6"/>
  <c r="Q171" i="6"/>
  <c r="AD184" i="6" l="1"/>
  <c r="AC187" i="6"/>
  <c r="AD219" i="6"/>
  <c r="AC222" i="6"/>
  <c r="AD166" i="6"/>
  <c r="AC169" i="6"/>
  <c r="AD201" i="6"/>
  <c r="AD204" i="6" s="1"/>
  <c r="T221" i="6"/>
  <c r="U220" i="6" s="1"/>
  <c r="R186" i="6"/>
  <c r="S185" i="6" s="1"/>
  <c r="Q203" i="6"/>
  <c r="R202" i="6" s="1"/>
  <c r="R205" i="6" s="1"/>
  <c r="Q168" i="6"/>
  <c r="R167" i="6" s="1"/>
  <c r="R170" i="6" s="1"/>
  <c r="AE219" i="6" l="1"/>
  <c r="AE222" i="6" s="1"/>
  <c r="AD222" i="6"/>
  <c r="AE184" i="6"/>
  <c r="AE187" i="6" s="1"/>
  <c r="AD187" i="6"/>
  <c r="AE166" i="6"/>
  <c r="AE169" i="6" s="1"/>
  <c r="AD169" i="6"/>
  <c r="S188" i="6"/>
  <c r="S189" i="6" s="1"/>
  <c r="AE201" i="6"/>
  <c r="AE204" i="6" s="1"/>
  <c r="U223" i="6"/>
  <c r="U224" i="6" s="1"/>
  <c r="R206" i="6"/>
  <c r="S186" i="6"/>
  <c r="T185" i="6" s="1"/>
  <c r="T188" i="6" s="1"/>
  <c r="R171" i="6"/>
  <c r="R203" i="6" l="1"/>
  <c r="S202" i="6" s="1"/>
  <c r="S205" i="6" s="1"/>
  <c r="U221" i="6"/>
  <c r="V220" i="6" s="1"/>
  <c r="R168" i="6"/>
  <c r="S167" i="6" s="1"/>
  <c r="T189" i="6"/>
  <c r="S170" i="6" l="1"/>
  <c r="S171" i="6" s="1"/>
  <c r="S206" i="6"/>
  <c r="S203" i="6"/>
  <c r="T202" i="6" s="1"/>
  <c r="T205" i="6" s="1"/>
  <c r="V223" i="6"/>
  <c r="V224" i="6" s="1"/>
  <c r="T186" i="6"/>
  <c r="U185" i="6" s="1"/>
  <c r="U188" i="6" s="1"/>
  <c r="S168" i="6" l="1"/>
  <c r="T167" i="6" s="1"/>
  <c r="T170" i="6" s="1"/>
  <c r="T206" i="6"/>
  <c r="T203" i="6"/>
  <c r="U202" i="6" s="1"/>
  <c r="U205" i="6" s="1"/>
  <c r="V221" i="6"/>
  <c r="W220" i="6" s="1"/>
  <c r="U189" i="6"/>
  <c r="T171" i="6" l="1"/>
  <c r="T168" i="6"/>
  <c r="U167" i="6" s="1"/>
  <c r="U170" i="6" s="1"/>
  <c r="U206" i="6"/>
  <c r="W223" i="6"/>
  <c r="W224" i="6" s="1"/>
  <c r="U203" i="6"/>
  <c r="V202" i="6" s="1"/>
  <c r="V205" i="6" s="1"/>
  <c r="U186" i="6"/>
  <c r="V185" i="6" s="1"/>
  <c r="V188" i="6" s="1"/>
  <c r="U171" i="6" l="1"/>
  <c r="U168" i="6"/>
  <c r="V167" i="6" s="1"/>
  <c r="V170" i="6" s="1"/>
  <c r="V171" i="6" s="1"/>
  <c r="W221" i="6"/>
  <c r="X220" i="6" s="1"/>
  <c r="V206" i="6"/>
  <c r="V189" i="6"/>
  <c r="V168" i="6" l="1"/>
  <c r="W167" i="6" s="1"/>
  <c r="W170" i="6" s="1"/>
  <c r="W171" i="6" s="1"/>
  <c r="V203" i="6"/>
  <c r="W202" i="6" s="1"/>
  <c r="W205" i="6" s="1"/>
  <c r="X223" i="6"/>
  <c r="X224" i="6" s="1"/>
  <c r="V186" i="6"/>
  <c r="W185" i="6" s="1"/>
  <c r="W188" i="6" s="1"/>
  <c r="W206" i="6" l="1"/>
  <c r="X221" i="6"/>
  <c r="Y220" i="6" s="1"/>
  <c r="W203" i="6"/>
  <c r="X202" i="6" s="1"/>
  <c r="X205" i="6" s="1"/>
  <c r="W189" i="6"/>
  <c r="W168" i="6"/>
  <c r="X167" i="6" s="1"/>
  <c r="X170" i="6" l="1"/>
  <c r="X171" i="6" s="1"/>
  <c r="Y223" i="6"/>
  <c r="Y224" i="6" s="1"/>
  <c r="W186" i="6"/>
  <c r="X185" i="6" s="1"/>
  <c r="X206" i="6"/>
  <c r="X168" i="6" l="1"/>
  <c r="Y167" i="6" s="1"/>
  <c r="Y170" i="6" s="1"/>
  <c r="Y171" i="6" s="1"/>
  <c r="X188" i="6"/>
  <c r="X189" i="6" s="1"/>
  <c r="Y221" i="6"/>
  <c r="Z220" i="6" s="1"/>
  <c r="Z223" i="6" s="1"/>
  <c r="Z224" i="6" s="1"/>
  <c r="X203" i="6"/>
  <c r="Y202" i="6" s="1"/>
  <c r="Y205" i="6" s="1"/>
  <c r="X186" i="6" l="1"/>
  <c r="Y185" i="6" s="1"/>
  <c r="Y188" i="6" s="1"/>
  <c r="Y189" i="6" s="1"/>
  <c r="Y168" i="6"/>
  <c r="Z167" i="6" s="1"/>
  <c r="Z221" i="6"/>
  <c r="AA220" i="6" s="1"/>
  <c r="Y206" i="6"/>
  <c r="Z170" i="6" l="1"/>
  <c r="Z171" i="6" s="1"/>
  <c r="AA223" i="6"/>
  <c r="AA224" i="6" s="1"/>
  <c r="Y203" i="6"/>
  <c r="Z202" i="6" s="1"/>
  <c r="Z205" i="6" s="1"/>
  <c r="Y186" i="6"/>
  <c r="Z185" i="6" s="1"/>
  <c r="Z188" i="6" s="1"/>
  <c r="Z168" i="6" l="1"/>
  <c r="AA167" i="6" s="1"/>
  <c r="AA170" i="6" s="1"/>
  <c r="AA171" i="6" s="1"/>
  <c r="AA221" i="6"/>
  <c r="AB220" i="6" s="1"/>
  <c r="AB223" i="6" s="1"/>
  <c r="AB224" i="6" s="1"/>
  <c r="Z206" i="6"/>
  <c r="Z189" i="6"/>
  <c r="AB221" i="6" l="1"/>
  <c r="AC220" i="6" s="1"/>
  <c r="AC223" i="6" s="1"/>
  <c r="AC224" i="6" s="1"/>
  <c r="Z186" i="6"/>
  <c r="AA185" i="6" s="1"/>
  <c r="Z203" i="6"/>
  <c r="AA202" i="6" s="1"/>
  <c r="AA205" i="6" s="1"/>
  <c r="AA168" i="6"/>
  <c r="AB167" i="6" s="1"/>
  <c r="AB170" i="6" l="1"/>
  <c r="AB171" i="6" s="1"/>
  <c r="AA188" i="6"/>
  <c r="AA189" i="6" s="1"/>
  <c r="AC221" i="6"/>
  <c r="AD220" i="6" s="1"/>
  <c r="AA206" i="6"/>
  <c r="AA186" i="6" l="1"/>
  <c r="AB185" i="6" s="1"/>
  <c r="AB188" i="6" s="1"/>
  <c r="AB189" i="6" s="1"/>
  <c r="AB168" i="6"/>
  <c r="AC167" i="6" s="1"/>
  <c r="AC170" i="6" s="1"/>
  <c r="AC171" i="6" s="1"/>
  <c r="AD223" i="6"/>
  <c r="AD224" i="6" s="1"/>
  <c r="AA203" i="6"/>
  <c r="AB202" i="6" s="1"/>
  <c r="AB205" i="6" s="1"/>
  <c r="AB186" i="6" l="1"/>
  <c r="AC185" i="6" s="1"/>
  <c r="AC188" i="6" s="1"/>
  <c r="AC189" i="6"/>
  <c r="AC186" i="6"/>
  <c r="AD185" i="6" s="1"/>
  <c r="AD221" i="6"/>
  <c r="AE220" i="6" s="1"/>
  <c r="AE223" i="6" s="1"/>
  <c r="AE224" i="6" s="1"/>
  <c r="AC168" i="6"/>
  <c r="AD167" i="6" s="1"/>
  <c r="AB206" i="6"/>
  <c r="AD170" i="6" l="1"/>
  <c r="AD171" i="6" s="1"/>
  <c r="AD188" i="6"/>
  <c r="AD189" i="6" s="1"/>
  <c r="AB203" i="6"/>
  <c r="AC202" i="6" s="1"/>
  <c r="AC205" i="6" s="1"/>
  <c r="AE221" i="6"/>
  <c r="AD168" i="6" l="1"/>
  <c r="AE167" i="6" s="1"/>
  <c r="AE170" i="6" s="1"/>
  <c r="AE171" i="6" s="1"/>
  <c r="AD186" i="6"/>
  <c r="AE185" i="6" s="1"/>
  <c r="AE188" i="6" s="1"/>
  <c r="AE189" i="6" s="1"/>
  <c r="AC206" i="6"/>
  <c r="AC203" i="6"/>
  <c r="AD202" i="6" s="1"/>
  <c r="AD205" i="6" s="1"/>
  <c r="AE168" i="6" l="1"/>
  <c r="AE186" i="6"/>
  <c r="AD206" i="6"/>
  <c r="AD203" i="6" l="1"/>
  <c r="AE202" i="6" s="1"/>
  <c r="AE205" i="6" s="1"/>
  <c r="AE203" i="6" l="1"/>
  <c r="B24" i="6"/>
  <c r="B30" i="6"/>
  <c r="A20" i="6"/>
  <c r="B23" i="6"/>
  <c r="B1" i="7"/>
  <c r="B1" i="5"/>
  <c r="B1" i="6"/>
  <c r="B1" i="4"/>
  <c r="B1" i="9"/>
  <c r="B1" i="3"/>
  <c r="B1" i="2"/>
  <c r="A1" i="7"/>
  <c r="A1" i="6"/>
  <c r="A1" i="5"/>
  <c r="A1" i="4"/>
  <c r="A1" i="9"/>
  <c r="A1" i="3"/>
  <c r="K8" i="3" l="1"/>
  <c r="K10" i="3"/>
  <c r="K11" i="3"/>
  <c r="K12" i="3"/>
  <c r="K4" i="3"/>
  <c r="K13" i="3"/>
  <c r="K5" i="3"/>
  <c r="K9" i="3"/>
  <c r="K6" i="3"/>
  <c r="K7" i="3"/>
  <c r="B33" i="6"/>
  <c r="B26" i="6"/>
  <c r="B27" i="6" s="1"/>
  <c r="AE206" i="6"/>
  <c r="C79" i="1"/>
  <c r="D8" i="11"/>
  <c r="E15" i="19" s="1"/>
  <c r="B34" i="6" l="1"/>
  <c r="B31" i="6" a="1"/>
  <c r="B31" i="6" s="1"/>
  <c r="B70" i="4" l="1"/>
  <c r="I27" i="11" l="1"/>
  <c r="I19" i="11"/>
  <c r="C6" i="11"/>
  <c r="D79" i="1" l="1"/>
  <c r="E88" i="2" l="1"/>
  <c r="E89" i="2"/>
  <c r="E90" i="2"/>
  <c r="D89" i="2"/>
  <c r="D90" i="2"/>
  <c r="E82" i="2"/>
  <c r="E81" i="2"/>
  <c r="D82" i="2"/>
  <c r="D81" i="2"/>
  <c r="D86" i="2"/>
  <c r="E72" i="2"/>
  <c r="E74" i="2"/>
  <c r="E73" i="2"/>
  <c r="D73" i="2"/>
  <c r="D72" i="2"/>
  <c r="D74" i="2"/>
  <c r="E32" i="2"/>
  <c r="E29" i="2"/>
  <c r="E31" i="2"/>
  <c r="E30" i="2"/>
  <c r="D32" i="2"/>
  <c r="D31" i="2"/>
  <c r="D29" i="2"/>
  <c r="D30" i="2"/>
  <c r="E12" i="2"/>
  <c r="E11" i="2"/>
  <c r="D11" i="2"/>
  <c r="E80" i="2"/>
  <c r="E10" i="2"/>
  <c r="D80" i="2"/>
  <c r="D10" i="2"/>
  <c r="D5" i="2"/>
  <c r="D15" i="2"/>
  <c r="C2" i="2"/>
  <c r="E18" i="2"/>
  <c r="Q47" i="5"/>
  <c r="P47" i="5"/>
  <c r="O47" i="5"/>
  <c r="N47" i="5"/>
  <c r="M47" i="5"/>
  <c r="L47" i="5"/>
  <c r="K47" i="5"/>
  <c r="J47" i="5"/>
  <c r="I47" i="5"/>
  <c r="H47" i="5"/>
  <c r="G47" i="5"/>
  <c r="F47" i="5"/>
  <c r="E47" i="5"/>
  <c r="D47" i="5"/>
  <c r="C47" i="5"/>
  <c r="H4" i="2"/>
  <c r="H94" i="2" s="1"/>
  <c r="U81" i="9" l="1"/>
  <c r="U82" i="9"/>
  <c r="U83" i="9"/>
  <c r="U84" i="9"/>
  <c r="U85" i="9"/>
  <c r="U86" i="9"/>
  <c r="D22" i="2" l="1"/>
  <c r="E22" i="2"/>
  <c r="AM82" i="9"/>
  <c r="AM83" i="9"/>
  <c r="AM84" i="9"/>
  <c r="AM85" i="9"/>
  <c r="AM86" i="9"/>
  <c r="AM87" i="9"/>
  <c r="AM88" i="9"/>
  <c r="AM89" i="9"/>
  <c r="AM90" i="9"/>
  <c r="AM91" i="9"/>
  <c r="AM92" i="9"/>
  <c r="AM93" i="9"/>
  <c r="AM94" i="9"/>
  <c r="AM95" i="9"/>
  <c r="AM96" i="9"/>
  <c r="AM97" i="9"/>
  <c r="AM98" i="9"/>
  <c r="AM99" i="9"/>
  <c r="AN101" i="9" s="1"/>
  <c r="AM101" i="9" l="1"/>
  <c r="E14" i="19" s="1"/>
  <c r="B81" i="7"/>
  <c r="B7" i="7"/>
  <c r="F132" i="7" l="1"/>
  <c r="D78" i="1"/>
  <c r="D80" i="1" s="1"/>
  <c r="F88" i="7" l="1"/>
  <c r="C23" i="3"/>
  <c r="C57" i="4" l="1"/>
  <c r="C41" i="4"/>
  <c r="C48" i="4"/>
  <c r="C32" i="4"/>
  <c r="C15" i="4"/>
  <c r="C14" i="4"/>
  <c r="C13" i="4"/>
  <c r="C12" i="4"/>
  <c r="C11" i="4"/>
  <c r="C10" i="4"/>
  <c r="C8" i="4"/>
  <c r="C7" i="4"/>
  <c r="C6" i="4"/>
  <c r="C5" i="4"/>
  <c r="G9" i="3" l="1"/>
  <c r="G8" i="3"/>
  <c r="G7" i="3"/>
  <c r="E85" i="2"/>
  <c r="D85" i="2"/>
  <c r="C91" i="18"/>
  <c r="C83" i="18"/>
  <c r="A20" i="2"/>
  <c r="E7" i="2"/>
  <c r="E72" i="1"/>
  <c r="G11" i="3" l="1"/>
  <c r="AH54" i="7"/>
  <c r="C13" i="18"/>
  <c r="C92" i="2"/>
  <c r="A22" i="2"/>
  <c r="A23" i="2"/>
  <c r="A21" i="2"/>
  <c r="B59" i="1"/>
  <c r="C59" i="1" s="1"/>
  <c r="R105" i="9"/>
  <c r="G21" i="3"/>
  <c r="D7" i="2"/>
  <c r="E86" i="2"/>
  <c r="U93" i="9"/>
  <c r="U92" i="9"/>
  <c r="U91" i="9"/>
  <c r="U90" i="9"/>
  <c r="U89" i="9"/>
  <c r="U88" i="9"/>
  <c r="U87" i="9"/>
  <c r="G25" i="3" l="1"/>
  <c r="E12" i="19"/>
  <c r="G65" i="2"/>
  <c r="G64" i="2"/>
  <c r="G39" i="2"/>
  <c r="G41" i="2"/>
  <c r="G59" i="2"/>
  <c r="G58" i="2"/>
  <c r="G57" i="2"/>
  <c r="G47" i="2"/>
  <c r="G62" i="2"/>
  <c r="G38" i="2"/>
  <c r="G52" i="2"/>
  <c r="G54" i="2"/>
  <c r="G46" i="2"/>
  <c r="G43" i="2"/>
  <c r="G50" i="2"/>
  <c r="G56" i="2"/>
  <c r="G44" i="2"/>
  <c r="G45" i="2"/>
  <c r="G55" i="2"/>
  <c r="G60" i="2"/>
  <c r="G51" i="2"/>
  <c r="G42" i="2"/>
  <c r="G63" i="2"/>
  <c r="G48" i="2"/>
  <c r="G61" i="2"/>
  <c r="G40" i="2"/>
  <c r="G53" i="2"/>
  <c r="G49" i="2"/>
  <c r="G37" i="2"/>
  <c r="C13" i="19"/>
  <c r="C92" i="18"/>
  <c r="C93" i="2"/>
  <c r="C96" i="2" s="1"/>
  <c r="G10" i="2"/>
  <c r="G89" i="2"/>
  <c r="G90" i="2"/>
  <c r="G71" i="2"/>
  <c r="G31" i="2"/>
  <c r="G30" i="2"/>
  <c r="G32" i="2"/>
  <c r="G12" i="2"/>
  <c r="G29" i="2"/>
  <c r="G11" i="2"/>
  <c r="G72" i="2"/>
  <c r="G82" i="2"/>
  <c r="G81" i="2"/>
  <c r="G74" i="2"/>
  <c r="G73" i="2"/>
  <c r="G80" i="2"/>
  <c r="G9" i="2"/>
  <c r="G70" i="2"/>
  <c r="G77" i="2"/>
  <c r="G8" i="2"/>
  <c r="G24" i="2"/>
  <c r="G23" i="2"/>
  <c r="G21" i="2"/>
  <c r="G15" i="2"/>
  <c r="G26" i="2"/>
  <c r="G27" i="2"/>
  <c r="G20" i="2"/>
  <c r="G36" i="2"/>
  <c r="G88" i="2"/>
  <c r="G22" i="2"/>
  <c r="G69" i="2"/>
  <c r="G18" i="2"/>
  <c r="G68" i="2"/>
  <c r="G87" i="2"/>
  <c r="G79" i="2"/>
  <c r="G86" i="2"/>
  <c r="G16" i="2"/>
  <c r="G28" i="2"/>
  <c r="G17" i="2"/>
  <c r="G6" i="2"/>
  <c r="G25" i="2"/>
  <c r="G7" i="2"/>
  <c r="G5" i="2"/>
  <c r="G85" i="2"/>
  <c r="G19" i="2"/>
  <c r="G78" i="2"/>
  <c r="C110" i="18" l="1"/>
  <c r="C111" i="18" s="1"/>
  <c r="G33" i="2"/>
  <c r="G13" i="2"/>
  <c r="G34" i="2" s="1"/>
  <c r="AR93" i="2"/>
  <c r="C9" i="19"/>
  <c r="C53" i="1"/>
  <c r="C54" i="1"/>
  <c r="C93" i="18"/>
  <c r="G93" i="2"/>
  <c r="R138" i="7"/>
  <c r="D75" i="1"/>
  <c r="C11" i="19" l="1"/>
  <c r="C10" i="19"/>
  <c r="J138" i="7"/>
  <c r="Q138" i="7"/>
  <c r="P138" i="7"/>
  <c r="O138" i="7"/>
  <c r="N138" i="7"/>
  <c r="M138" i="7"/>
  <c r="L138" i="7"/>
  <c r="K138" i="7"/>
  <c r="I138" i="7"/>
  <c r="H138" i="7"/>
  <c r="S138" i="7"/>
  <c r="G138" i="7"/>
  <c r="D74" i="1"/>
  <c r="D76" i="1" s="1"/>
  <c r="D82" i="1" s="1"/>
  <c r="C100" i="18" l="1"/>
  <c r="E19" i="19"/>
  <c r="D88" i="2"/>
  <c r="E87" i="2"/>
  <c r="E91" i="2" s="1"/>
  <c r="D87" i="2"/>
  <c r="E79" i="2"/>
  <c r="D79" i="2"/>
  <c r="E78" i="2"/>
  <c r="D78" i="2"/>
  <c r="E71" i="2"/>
  <c r="D71" i="2"/>
  <c r="E70" i="2"/>
  <c r="D70" i="2"/>
  <c r="E69" i="2"/>
  <c r="D69" i="2"/>
  <c r="E68" i="2"/>
  <c r="E75" i="2" s="1"/>
  <c r="D68" i="2"/>
  <c r="E36" i="2"/>
  <c r="E66" i="2" s="1"/>
  <c r="D36" i="2"/>
  <c r="D66" i="2" s="1"/>
  <c r="E28" i="2"/>
  <c r="D28" i="2"/>
  <c r="E27" i="2"/>
  <c r="D27" i="2"/>
  <c r="E26" i="2"/>
  <c r="D26" i="2"/>
  <c r="E25" i="2"/>
  <c r="D25" i="2"/>
  <c r="E24" i="2"/>
  <c r="D24" i="2"/>
  <c r="E23" i="2"/>
  <c r="D23" i="2"/>
  <c r="E21" i="2"/>
  <c r="D21" i="2"/>
  <c r="E20" i="2"/>
  <c r="D20" i="2"/>
  <c r="D18" i="2"/>
  <c r="E17" i="2"/>
  <c r="E9" i="2"/>
  <c r="D9" i="2"/>
  <c r="E8" i="2"/>
  <c r="D8" i="2"/>
  <c r="E6" i="2"/>
  <c r="D6" i="2"/>
  <c r="E5" i="2"/>
  <c r="X100" i="18" l="1"/>
  <c r="H100" i="18"/>
  <c r="H101" i="18" s="1"/>
  <c r="F100" i="18"/>
  <c r="F101" i="18" s="1"/>
  <c r="D100" i="18"/>
  <c r="D101" i="18" s="1"/>
  <c r="W100" i="18"/>
  <c r="W101" i="18" s="1"/>
  <c r="Y100" i="18"/>
  <c r="T100" i="18"/>
  <c r="T101" i="18" s="1"/>
  <c r="V100" i="18"/>
  <c r="V101" i="18" s="1"/>
  <c r="L100" i="18"/>
  <c r="L101" i="18" s="1"/>
  <c r="N100" i="18"/>
  <c r="N101" i="18" s="1"/>
  <c r="R100" i="18"/>
  <c r="R101" i="18" s="1"/>
  <c r="J100" i="18"/>
  <c r="J101" i="18" s="1"/>
  <c r="E33" i="2"/>
  <c r="D33" i="2"/>
  <c r="X101" i="18"/>
  <c r="P100" i="18"/>
  <c r="P101" i="18" s="1"/>
  <c r="E13" i="2"/>
  <c r="E34" i="2" s="1"/>
  <c r="D13" i="2"/>
  <c r="D75" i="2"/>
  <c r="D91" i="2"/>
  <c r="Y101" i="18" l="1"/>
  <c r="D34" i="2"/>
  <c r="D77" i="2"/>
  <c r="D83" i="2" s="1"/>
  <c r="E77" i="2"/>
  <c r="E83" i="2" s="1"/>
  <c r="E92" i="2" s="1"/>
  <c r="D92" i="2" l="1"/>
  <c r="E93" i="2"/>
  <c r="C37" i="5"/>
  <c r="D93" i="2" l="1"/>
  <c r="P70" i="3"/>
  <c r="O70" i="3"/>
  <c r="N70" i="3"/>
  <c r="M70" i="3"/>
  <c r="J70" i="3"/>
  <c r="K70" i="3"/>
  <c r="I70" i="3"/>
  <c r="H70" i="3"/>
  <c r="G70" i="3"/>
  <c r="F70" i="3"/>
  <c r="B5" i="1" l="1"/>
  <c r="B6" i="1" s="1"/>
  <c r="U99" i="9" l="1"/>
  <c r="U98" i="9"/>
  <c r="U97" i="9"/>
  <c r="U96" i="9"/>
  <c r="U95" i="9"/>
  <c r="U94" i="9"/>
  <c r="C11" i="5" l="1"/>
  <c r="C59" i="4"/>
  <c r="C60" i="4"/>
  <c r="C62" i="4"/>
  <c r="C58" i="4"/>
  <c r="C46" i="4"/>
  <c r="C47" i="4"/>
  <c r="C42" i="4"/>
  <c r="C45" i="4"/>
  <c r="C53" i="4"/>
  <c r="C43" i="4"/>
  <c r="C9" i="4"/>
  <c r="C46" i="5" l="1"/>
  <c r="C26" i="4"/>
  <c r="AR77" i="2"/>
  <c r="C66" i="4"/>
  <c r="C29" i="6"/>
  <c r="C30" i="6" s="1"/>
  <c r="C38" i="5"/>
  <c r="C6" i="5"/>
  <c r="B7" i="6"/>
  <c r="B8" i="6"/>
  <c r="C131" i="6"/>
  <c r="C134" i="6" s="1"/>
  <c r="C12" i="6"/>
  <c r="D12" i="6" s="1"/>
  <c r="E12" i="6" s="1"/>
  <c r="F12" i="6" s="1"/>
  <c r="G12" i="6" s="1"/>
  <c r="H12" i="6" s="1"/>
  <c r="I12" i="6" s="1"/>
  <c r="J12" i="6" s="1"/>
  <c r="K12" i="6" s="1"/>
  <c r="L12" i="6" s="1"/>
  <c r="M12" i="6" s="1"/>
  <c r="N12" i="6" s="1"/>
  <c r="O12" i="6" s="1"/>
  <c r="P12" i="6" s="1"/>
  <c r="Q12" i="6" s="1"/>
  <c r="B149" i="6"/>
  <c r="A3" i="6"/>
  <c r="C148" i="6"/>
  <c r="B60" i="1"/>
  <c r="B4" i="1"/>
  <c r="D21" i="3"/>
  <c r="D11" i="3"/>
  <c r="D2" i="5"/>
  <c r="D67" i="5"/>
  <c r="E67" i="5" s="1"/>
  <c r="F67" i="5" s="1"/>
  <c r="G67" i="5" s="1"/>
  <c r="H67" i="5" s="1"/>
  <c r="I67" i="5" s="1"/>
  <c r="J67" i="5" s="1"/>
  <c r="K67" i="5" s="1"/>
  <c r="L67" i="5" s="1"/>
  <c r="M67" i="5" s="1"/>
  <c r="N67" i="5" s="1"/>
  <c r="O67" i="5" s="1"/>
  <c r="P67" i="5" s="1"/>
  <c r="Q67" i="5" s="1"/>
  <c r="D44" i="5"/>
  <c r="E44" i="5" s="1"/>
  <c r="F44" i="5" s="1"/>
  <c r="G44" i="5" s="1"/>
  <c r="H44" i="5" s="1"/>
  <c r="I44" i="5" s="1"/>
  <c r="J44" i="5" s="1"/>
  <c r="K44" i="5" s="1"/>
  <c r="L44" i="5" s="1"/>
  <c r="M44" i="5" s="1"/>
  <c r="N44" i="5" s="1"/>
  <c r="O44" i="5" s="1"/>
  <c r="P44" i="5" s="1"/>
  <c r="Q44" i="5" s="1"/>
  <c r="AA1" i="5"/>
  <c r="C61" i="4"/>
  <c r="C30" i="4"/>
  <c r="C70" i="4"/>
  <c r="C72" i="4"/>
  <c r="C77" i="4"/>
  <c r="C44" i="4"/>
  <c r="C31" i="4"/>
  <c r="C29" i="4"/>
  <c r="C25" i="4"/>
  <c r="B16" i="7"/>
  <c r="D84" i="7"/>
  <c r="AH84" i="7" s="1"/>
  <c r="D83" i="7"/>
  <c r="AH83" i="7" s="1"/>
  <c r="D82" i="7"/>
  <c r="AH82" i="7" s="1"/>
  <c r="D77" i="7"/>
  <c r="AH77" i="7" s="1"/>
  <c r="D76" i="7"/>
  <c r="AH76" i="7" s="1"/>
  <c r="D75" i="7"/>
  <c r="AH75" i="7" s="1"/>
  <c r="AH70" i="7"/>
  <c r="AH69" i="7"/>
  <c r="AH68" i="7"/>
  <c r="D67" i="7"/>
  <c r="AH67" i="7" s="1"/>
  <c r="AH53" i="7"/>
  <c r="AH52" i="7"/>
  <c r="AH51" i="7"/>
  <c r="AH50" i="7"/>
  <c r="AH49" i="7"/>
  <c r="AH48" i="7"/>
  <c r="AH47" i="7"/>
  <c r="AH46" i="7"/>
  <c r="AH45" i="7"/>
  <c r="AH44" i="7"/>
  <c r="AH43" i="7"/>
  <c r="AH42" i="7"/>
  <c r="AH41" i="7"/>
  <c r="AH40" i="7"/>
  <c r="AH39" i="7"/>
  <c r="AH38" i="7"/>
  <c r="AH37" i="7"/>
  <c r="D36" i="7"/>
  <c r="AH36" i="7" s="1"/>
  <c r="D8" i="7"/>
  <c r="B66" i="7"/>
  <c r="B85" i="7"/>
  <c r="D85" i="7"/>
  <c r="AH85" i="7" s="1"/>
  <c r="B75" i="7"/>
  <c r="B76" i="7"/>
  <c r="B77" i="7"/>
  <c r="B82" i="7"/>
  <c r="B83" i="7"/>
  <c r="B84" i="7"/>
  <c r="B67" i="7"/>
  <c r="B74" i="7"/>
  <c r="B36" i="7"/>
  <c r="B9" i="7"/>
  <c r="D9" i="7"/>
  <c r="AH9" i="7" s="1"/>
  <c r="B10" i="7"/>
  <c r="D10" i="7"/>
  <c r="AH10" i="7" s="1"/>
  <c r="B11" i="7"/>
  <c r="D11" i="7"/>
  <c r="AH11" i="7" s="1"/>
  <c r="B12" i="7"/>
  <c r="D12" i="7"/>
  <c r="AH12" i="7" s="1"/>
  <c r="B17" i="7"/>
  <c r="AH18" i="7"/>
  <c r="AH19" i="7"/>
  <c r="AH20" i="7"/>
  <c r="AH21" i="7"/>
  <c r="AH22" i="7"/>
  <c r="AH23" i="7"/>
  <c r="AH24" i="7"/>
  <c r="AH25" i="7"/>
  <c r="AH26" i="7"/>
  <c r="AH27" i="7"/>
  <c r="AH28" i="7"/>
  <c r="AH29" i="7"/>
  <c r="B35" i="7"/>
  <c r="B8" i="7"/>
  <c r="AR8" i="2"/>
  <c r="AR9" i="2"/>
  <c r="AR36" i="2"/>
  <c r="AR69" i="2"/>
  <c r="AR70" i="2"/>
  <c r="AR71" i="2"/>
  <c r="AR78" i="2"/>
  <c r="AR79" i="2"/>
  <c r="AR85" i="2"/>
  <c r="AR86" i="2"/>
  <c r="AR87" i="2"/>
  <c r="D22" i="4" l="1"/>
  <c r="E38" i="4"/>
  <c r="D38" i="4"/>
  <c r="C103" i="2"/>
  <c r="D89" i="7"/>
  <c r="D62" i="4"/>
  <c r="AH8" i="7"/>
  <c r="C118" i="6"/>
  <c r="C119" i="6" s="1"/>
  <c r="D118" i="6"/>
  <c r="D119" i="6" s="1"/>
  <c r="E118" i="6"/>
  <c r="E119" i="6" s="1"/>
  <c r="F118" i="6"/>
  <c r="F119" i="6" s="1"/>
  <c r="G118" i="6"/>
  <c r="G119" i="6" s="1"/>
  <c r="H118" i="6"/>
  <c r="H119" i="6" s="1"/>
  <c r="I118" i="6"/>
  <c r="I119" i="6" s="1"/>
  <c r="J118" i="6"/>
  <c r="J119" i="6" s="1"/>
  <c r="K118" i="6"/>
  <c r="K119" i="6" s="1"/>
  <c r="L118" i="6"/>
  <c r="L119" i="6" s="1"/>
  <c r="M118" i="6"/>
  <c r="M119" i="6" s="1"/>
  <c r="N118" i="6"/>
  <c r="N119" i="6" s="1"/>
  <c r="O118" i="6"/>
  <c r="O119" i="6" s="1"/>
  <c r="P118" i="6"/>
  <c r="P119" i="6" s="1"/>
  <c r="Q118" i="6"/>
  <c r="Q119" i="6" s="1"/>
  <c r="R118" i="6"/>
  <c r="R119" i="6" s="1"/>
  <c r="S118" i="6"/>
  <c r="S119" i="6" s="1"/>
  <c r="T118" i="6"/>
  <c r="T119" i="6" s="1"/>
  <c r="U118" i="6"/>
  <c r="U119" i="6" s="1"/>
  <c r="V118" i="6"/>
  <c r="V119" i="6" s="1"/>
  <c r="W118" i="6"/>
  <c r="W119" i="6" s="1"/>
  <c r="X118" i="6"/>
  <c r="X119" i="6" s="1"/>
  <c r="Y118" i="6"/>
  <c r="Y119" i="6" s="1"/>
  <c r="Z118" i="6"/>
  <c r="Z119" i="6" s="1"/>
  <c r="AA118" i="6"/>
  <c r="AA119" i="6" s="1"/>
  <c r="AB118" i="6"/>
  <c r="AB119" i="6" s="1"/>
  <c r="AC118" i="6"/>
  <c r="AC119" i="6" s="1"/>
  <c r="AD118" i="6"/>
  <c r="AD119" i="6" s="1"/>
  <c r="AE118" i="6"/>
  <c r="AE119" i="6" s="1"/>
  <c r="D148" i="6"/>
  <c r="C151" i="6"/>
  <c r="B152" i="6"/>
  <c r="B153" i="6" s="1"/>
  <c r="B150" i="6"/>
  <c r="E68" i="6"/>
  <c r="AG68" i="6"/>
  <c r="U68" i="6"/>
  <c r="I68" i="6"/>
  <c r="G68" i="6"/>
  <c r="AD68" i="6"/>
  <c r="AA68" i="6"/>
  <c r="K68" i="6"/>
  <c r="C68" i="6"/>
  <c r="D131" i="6"/>
  <c r="AD47" i="6"/>
  <c r="AD49" i="6" s="1"/>
  <c r="R47" i="6"/>
  <c r="R49" i="6" s="1"/>
  <c r="AO47" i="6"/>
  <c r="AO49" i="6" s="1"/>
  <c r="AO51" i="6" s="1"/>
  <c r="AC47" i="6"/>
  <c r="AC49" i="6" s="1"/>
  <c r="Q47" i="6"/>
  <c r="Q49" i="6" s="1"/>
  <c r="E47" i="6"/>
  <c r="E49" i="6" s="1"/>
  <c r="AN47" i="6"/>
  <c r="AN49" i="6" s="1"/>
  <c r="AB47" i="6"/>
  <c r="AB49" i="6" s="1"/>
  <c r="P47" i="6"/>
  <c r="P49" i="6" s="1"/>
  <c r="D47" i="6"/>
  <c r="D49" i="6" s="1"/>
  <c r="AM47" i="6"/>
  <c r="AM49" i="6" s="1"/>
  <c r="AA47" i="6"/>
  <c r="AA49" i="6" s="1"/>
  <c r="O47" i="6"/>
  <c r="O49" i="6" s="1"/>
  <c r="AL47" i="6"/>
  <c r="AL49" i="6" s="1"/>
  <c r="Z47" i="6"/>
  <c r="Z49" i="6" s="1"/>
  <c r="N47" i="6"/>
  <c r="N49" i="6" s="1"/>
  <c r="AE47" i="6"/>
  <c r="AE49" i="6" s="1"/>
  <c r="AK47" i="6"/>
  <c r="AK49" i="6" s="1"/>
  <c r="Y47" i="6"/>
  <c r="Y49" i="6" s="1"/>
  <c r="M47" i="6"/>
  <c r="M49" i="6" s="1"/>
  <c r="S47" i="6"/>
  <c r="S49" i="6" s="1"/>
  <c r="AJ47" i="6"/>
  <c r="AJ49" i="6" s="1"/>
  <c r="X47" i="6"/>
  <c r="X49" i="6" s="1"/>
  <c r="L47" i="6"/>
  <c r="L49" i="6" s="1"/>
  <c r="AG47" i="6"/>
  <c r="AG49" i="6" s="1"/>
  <c r="I47" i="6"/>
  <c r="I49" i="6" s="1"/>
  <c r="H47" i="6"/>
  <c r="H49" i="6" s="1"/>
  <c r="G47" i="6"/>
  <c r="G49" i="6" s="1"/>
  <c r="AI47" i="6"/>
  <c r="AI49" i="6" s="1"/>
  <c r="W47" i="6"/>
  <c r="W49" i="6" s="1"/>
  <c r="K47" i="6"/>
  <c r="K49" i="6" s="1"/>
  <c r="AH47" i="6"/>
  <c r="AH49" i="6" s="1"/>
  <c r="V47" i="6"/>
  <c r="V49" i="6" s="1"/>
  <c r="J47" i="6"/>
  <c r="J49" i="6" s="1"/>
  <c r="U47" i="6"/>
  <c r="U49" i="6" s="1"/>
  <c r="AF47" i="6"/>
  <c r="AF49" i="6" s="1"/>
  <c r="T47" i="6"/>
  <c r="T49" i="6" s="1"/>
  <c r="D9" i="4"/>
  <c r="D60" i="4"/>
  <c r="D25" i="4"/>
  <c r="D59" i="4"/>
  <c r="D29" i="4"/>
  <c r="D31" i="4"/>
  <c r="E72" i="4"/>
  <c r="E9" i="4"/>
  <c r="E21" i="4"/>
  <c r="E71" i="4"/>
  <c r="E73" i="4"/>
  <c r="E10" i="4"/>
  <c r="E5" i="4"/>
  <c r="E37" i="4"/>
  <c r="E74" i="4"/>
  <c r="E11" i="4"/>
  <c r="E36" i="4"/>
  <c r="E30" i="4"/>
  <c r="E12" i="4"/>
  <c r="E31" i="4"/>
  <c r="E13" i="4"/>
  <c r="E32" i="4"/>
  <c r="E14" i="4"/>
  <c r="D33" i="4"/>
  <c r="E34" i="4"/>
  <c r="E15" i="4"/>
  <c r="E33" i="4"/>
  <c r="E16" i="4"/>
  <c r="E35" i="4"/>
  <c r="E17" i="4"/>
  <c r="E6" i="4"/>
  <c r="E18" i="4"/>
  <c r="E77" i="4"/>
  <c r="E7" i="4"/>
  <c r="E19" i="4"/>
  <c r="E8" i="4"/>
  <c r="E20" i="4"/>
  <c r="D35" i="4"/>
  <c r="D63" i="4"/>
  <c r="D19" i="4"/>
  <c r="D49" i="4"/>
  <c r="D73" i="4"/>
  <c r="D64" i="4"/>
  <c r="D36" i="4"/>
  <c r="D37" i="4"/>
  <c r="D17" i="4"/>
  <c r="D34" i="4"/>
  <c r="D50" i="4"/>
  <c r="D52" i="4"/>
  <c r="D65" i="4"/>
  <c r="D74" i="4"/>
  <c r="D71" i="4"/>
  <c r="D21" i="4"/>
  <c r="D18" i="4"/>
  <c r="D16" i="4"/>
  <c r="D20" i="4"/>
  <c r="D51" i="4"/>
  <c r="E70" i="4"/>
  <c r="D8" i="4"/>
  <c r="D6" i="4"/>
  <c r="D14" i="4"/>
  <c r="D57" i="4"/>
  <c r="D41" i="4"/>
  <c r="D7" i="4"/>
  <c r="D10" i="4"/>
  <c r="D11" i="4"/>
  <c r="D12" i="4"/>
  <c r="D13" i="4"/>
  <c r="D15" i="4"/>
  <c r="D32" i="4"/>
  <c r="D48" i="4"/>
  <c r="D5" i="4"/>
  <c r="D47" i="4"/>
  <c r="D44" i="4"/>
  <c r="D77" i="4"/>
  <c r="D42" i="4"/>
  <c r="D58" i="4"/>
  <c r="D46" i="4"/>
  <c r="D30" i="4"/>
  <c r="D45" i="4"/>
  <c r="D66" i="4"/>
  <c r="D70" i="4"/>
  <c r="D61" i="4"/>
  <c r="D26" i="4"/>
  <c r="D53" i="4"/>
  <c r="C16" i="6"/>
  <c r="C14" i="6"/>
  <c r="D72" i="4"/>
  <c r="D43" i="4"/>
  <c r="D25" i="3"/>
  <c r="F102" i="19"/>
  <c r="F98" i="19"/>
  <c r="F97" i="19"/>
  <c r="F96" i="19"/>
  <c r="F99" i="19"/>
  <c r="F100" i="19"/>
  <c r="F101" i="19"/>
  <c r="E11" i="5"/>
  <c r="F11" i="5" s="1"/>
  <c r="G11" i="5" s="1"/>
  <c r="H11" i="5" s="1"/>
  <c r="I11" i="5" s="1"/>
  <c r="J11" i="5" s="1"/>
  <c r="K11" i="5" s="1"/>
  <c r="L11" i="5" s="1"/>
  <c r="M11" i="5" s="1"/>
  <c r="N11" i="5" s="1"/>
  <c r="O11" i="5" s="1"/>
  <c r="P11" i="5" s="1"/>
  <c r="Q11" i="5" s="1"/>
  <c r="R11" i="5" s="1"/>
  <c r="S11" i="5" s="1"/>
  <c r="T11" i="5" s="1"/>
  <c r="U11" i="5" s="1"/>
  <c r="V11" i="5" s="1"/>
  <c r="W11" i="5" s="1"/>
  <c r="X11" i="5" s="1"/>
  <c r="Y11" i="5" s="1"/>
  <c r="Z11" i="5" s="1"/>
  <c r="AA11" i="5" s="1"/>
  <c r="AB11" i="5" s="1"/>
  <c r="AC11" i="5" s="1"/>
  <c r="AD11" i="5" s="1"/>
  <c r="AE11" i="5" s="1"/>
  <c r="AF11" i="5" s="1"/>
  <c r="E63" i="4"/>
  <c r="E51" i="4"/>
  <c r="E64" i="4"/>
  <c r="E50" i="4"/>
  <c r="E52" i="4"/>
  <c r="E65" i="4"/>
  <c r="E49" i="4"/>
  <c r="J131" i="7"/>
  <c r="J132" i="7" s="1"/>
  <c r="R132" i="7"/>
  <c r="C31" i="6" a="1"/>
  <c r="C31" i="6" s="1"/>
  <c r="C32" i="6" s="1" a="1"/>
  <c r="C32" i="6" s="1"/>
  <c r="C33" i="6" s="1" a="1"/>
  <c r="C33" i="6" s="1"/>
  <c r="B132" i="6"/>
  <c r="B135" i="6" s="1"/>
  <c r="Q131" i="7"/>
  <c r="Q88" i="7" s="1"/>
  <c r="L131" i="7"/>
  <c r="L132" i="7" s="1"/>
  <c r="P131" i="7"/>
  <c r="P132" i="7" s="1"/>
  <c r="N131" i="7"/>
  <c r="N88" i="7" s="1"/>
  <c r="O131" i="7"/>
  <c r="O132" i="7" s="1"/>
  <c r="K14" i="6"/>
  <c r="M131" i="7"/>
  <c r="M88" i="7" s="1"/>
  <c r="I131" i="7"/>
  <c r="I132" i="7" s="1"/>
  <c r="K131" i="7"/>
  <c r="K132" i="7" s="1"/>
  <c r="H131" i="7"/>
  <c r="H132" i="7" s="1"/>
  <c r="G131" i="7"/>
  <c r="G132" i="7" s="1"/>
  <c r="D7" i="11"/>
  <c r="D29" i="6"/>
  <c r="E59" i="4"/>
  <c r="E44" i="4"/>
  <c r="E45" i="4"/>
  <c r="E61" i="4"/>
  <c r="E46" i="4"/>
  <c r="E47" i="4"/>
  <c r="E60" i="4"/>
  <c r="E48" i="4"/>
  <c r="E53" i="4"/>
  <c r="E66" i="4"/>
  <c r="E58" i="4"/>
  <c r="E62" i="4"/>
  <c r="E57" i="4"/>
  <c r="E29" i="4"/>
  <c r="E54" i="4"/>
  <c r="E42" i="4"/>
  <c r="E41" i="4"/>
  <c r="E43" i="4"/>
  <c r="E25" i="4"/>
  <c r="E26" i="4"/>
  <c r="E22" i="4"/>
  <c r="C54" i="4"/>
  <c r="D54" i="4" s="1"/>
  <c r="F79" i="4" s="1"/>
  <c r="E2" i="5"/>
  <c r="D37" i="5"/>
  <c r="R12" i="6"/>
  <c r="S12" i="6" s="1"/>
  <c r="C39" i="5"/>
  <c r="D75" i="5"/>
  <c r="E75" i="5"/>
  <c r="B61" i="1"/>
  <c r="C61" i="1" s="1"/>
  <c r="F17" i="2" l="1"/>
  <c r="B133" i="6"/>
  <c r="C132" i="6" s="1"/>
  <c r="E148" i="6"/>
  <c r="D151" i="6"/>
  <c r="J68" i="6"/>
  <c r="M68" i="6"/>
  <c r="P68" i="6"/>
  <c r="O68" i="6"/>
  <c r="AF68" i="6"/>
  <c r="T68" i="6"/>
  <c r="AJ68" i="6"/>
  <c r="V68" i="6"/>
  <c r="R68" i="6"/>
  <c r="AK68" i="6"/>
  <c r="H68" i="6"/>
  <c r="Q68" i="6"/>
  <c r="AE51" i="6"/>
  <c r="AO68" i="6"/>
  <c r="AH68" i="6"/>
  <c r="AM68" i="6"/>
  <c r="S68" i="6"/>
  <c r="W68" i="6"/>
  <c r="AL51" i="6"/>
  <c r="P51" i="6"/>
  <c r="AL68" i="6"/>
  <c r="AE68" i="6"/>
  <c r="Z68" i="6"/>
  <c r="AN68" i="6"/>
  <c r="X68" i="6"/>
  <c r="L68" i="6"/>
  <c r="AC68" i="6"/>
  <c r="N68" i="6"/>
  <c r="I51" i="6"/>
  <c r="AB51" i="6"/>
  <c r="AN51" i="6"/>
  <c r="AB68" i="6"/>
  <c r="F68" i="6"/>
  <c r="Y68" i="6"/>
  <c r="AI68" i="6"/>
  <c r="R51" i="6"/>
  <c r="U51" i="6"/>
  <c r="AH51" i="6"/>
  <c r="J51" i="6"/>
  <c r="W51" i="6"/>
  <c r="AJ51" i="6"/>
  <c r="AD51" i="6"/>
  <c r="H51" i="6"/>
  <c r="AF51" i="6"/>
  <c r="K51" i="6"/>
  <c r="AG51" i="6"/>
  <c r="AK51" i="6"/>
  <c r="AI51" i="6"/>
  <c r="E51" i="6"/>
  <c r="Q51" i="6"/>
  <c r="L51" i="6"/>
  <c r="Y51" i="6"/>
  <c r="AA51" i="6"/>
  <c r="S51" i="6"/>
  <c r="V51" i="6"/>
  <c r="AC51" i="6"/>
  <c r="T51" i="6"/>
  <c r="G51" i="6"/>
  <c r="X51" i="6"/>
  <c r="D51" i="6"/>
  <c r="M51" i="6"/>
  <c r="O51" i="6"/>
  <c r="AM51" i="6"/>
  <c r="N51" i="6"/>
  <c r="Z51" i="6"/>
  <c r="E131" i="6"/>
  <c r="E134" i="6" s="1"/>
  <c r="D134" i="6"/>
  <c r="B136" i="6"/>
  <c r="F53" i="2"/>
  <c r="F50" i="2"/>
  <c r="F63" i="2"/>
  <c r="F60" i="2"/>
  <c r="F47" i="2"/>
  <c r="F44" i="2"/>
  <c r="F57" i="2"/>
  <c r="F41" i="2"/>
  <c r="F54" i="2"/>
  <c r="F38" i="2"/>
  <c r="F51" i="2"/>
  <c r="F48" i="2"/>
  <c r="F45" i="2"/>
  <c r="F42" i="2"/>
  <c r="F65" i="2"/>
  <c r="F39" i="2"/>
  <c r="F62" i="2"/>
  <c r="F59" i="2"/>
  <c r="F56" i="2"/>
  <c r="F40" i="2"/>
  <c r="F43" i="2"/>
  <c r="F46" i="2"/>
  <c r="F49" i="2"/>
  <c r="F52" i="2"/>
  <c r="F55" i="2"/>
  <c r="F58" i="2"/>
  <c r="F61" i="2"/>
  <c r="F64" i="2"/>
  <c r="F37" i="2"/>
  <c r="J88" i="7"/>
  <c r="O88" i="7"/>
  <c r="P88" i="7"/>
  <c r="N132" i="7"/>
  <c r="Q132" i="7"/>
  <c r="C149" i="6"/>
  <c r="F13" i="2"/>
  <c r="F82" i="2"/>
  <c r="F74" i="2"/>
  <c r="F33" i="2"/>
  <c r="F11" i="2"/>
  <c r="F90" i="2"/>
  <c r="F10" i="2"/>
  <c r="F73" i="2"/>
  <c r="F89" i="2"/>
  <c r="F12" i="2"/>
  <c r="F30" i="2"/>
  <c r="F29" i="2"/>
  <c r="F72" i="2"/>
  <c r="F81" i="2"/>
  <c r="F32" i="2"/>
  <c r="F31" i="2"/>
  <c r="F92" i="2"/>
  <c r="G88" i="7"/>
  <c r="I88" i="7"/>
  <c r="L88" i="7"/>
  <c r="M132" i="7"/>
  <c r="F80" i="2"/>
  <c r="F22" i="2"/>
  <c r="F7" i="2"/>
  <c r="F70" i="2"/>
  <c r="K88" i="7"/>
  <c r="H88" i="7"/>
  <c r="E29" i="6"/>
  <c r="F28" i="2"/>
  <c r="F9" i="2"/>
  <c r="F79" i="2"/>
  <c r="F86" i="2"/>
  <c r="F25" i="2"/>
  <c r="F15" i="2"/>
  <c r="F18" i="2"/>
  <c r="F77" i="2"/>
  <c r="F36" i="2"/>
  <c r="F93" i="2"/>
  <c r="F88" i="2"/>
  <c r="F21" i="2"/>
  <c r="F23" i="2"/>
  <c r="F19" i="2"/>
  <c r="F16" i="2"/>
  <c r="F8" i="2"/>
  <c r="F69" i="2"/>
  <c r="F27" i="2"/>
  <c r="F68" i="2"/>
  <c r="F20" i="2"/>
  <c r="F85" i="2"/>
  <c r="F87" i="2"/>
  <c r="F24" i="2"/>
  <c r="F6" i="2"/>
  <c r="F5" i="2"/>
  <c r="F78" i="2"/>
  <c r="F26" i="2"/>
  <c r="F71" i="2"/>
  <c r="F2" i="5"/>
  <c r="E37" i="5"/>
  <c r="D103" i="2"/>
  <c r="T12" i="6"/>
  <c r="C40" i="5"/>
  <c r="C42" i="5" s="1"/>
  <c r="D46" i="5"/>
  <c r="F148" i="6" l="1"/>
  <c r="E151" i="6"/>
  <c r="C135" i="6"/>
  <c r="C133" i="6"/>
  <c r="C152" i="6"/>
  <c r="C150" i="6"/>
  <c r="F131" i="6"/>
  <c r="F134" i="6" s="1"/>
  <c r="F34" i="2"/>
  <c r="AH88" i="7"/>
  <c r="F29" i="6"/>
  <c r="B62" i="1"/>
  <c r="G2" i="5"/>
  <c r="F37" i="5"/>
  <c r="B8" i="1"/>
  <c r="C5" i="5"/>
  <c r="D5" i="5" s="1"/>
  <c r="E5" i="5" s="1"/>
  <c r="F5" i="5" s="1"/>
  <c r="G5" i="5" s="1"/>
  <c r="H5" i="5" s="1"/>
  <c r="I5" i="5" s="1"/>
  <c r="J5" i="5" s="1"/>
  <c r="K5" i="5" s="1"/>
  <c r="L5" i="5" s="1"/>
  <c r="M5" i="5" s="1"/>
  <c r="N5" i="5" s="1"/>
  <c r="O5" i="5" s="1"/>
  <c r="P5" i="5" s="1"/>
  <c r="Q5" i="5" s="1"/>
  <c r="R5" i="5" s="1"/>
  <c r="S5" i="5" s="1"/>
  <c r="T5" i="5" s="1"/>
  <c r="U5" i="5" s="1"/>
  <c r="V5" i="5" s="1"/>
  <c r="W5" i="5" s="1"/>
  <c r="X5" i="5" s="1"/>
  <c r="Y5" i="5" s="1"/>
  <c r="Z5" i="5" s="1"/>
  <c r="AA5" i="5" s="1"/>
  <c r="AB5" i="5" s="1"/>
  <c r="AC5" i="5" s="1"/>
  <c r="AD5" i="5" s="1"/>
  <c r="AE5" i="5" s="1"/>
  <c r="AF5" i="5" s="1"/>
  <c r="U12" i="6"/>
  <c r="E39" i="5"/>
  <c r="E46" i="5"/>
  <c r="C67" i="1" l="1"/>
  <c r="B64" i="1"/>
  <c r="C136" i="6"/>
  <c r="C395" i="6"/>
  <c r="C60" i="1"/>
  <c r="G148" i="6"/>
  <c r="F151" i="6"/>
  <c r="G131" i="6"/>
  <c r="D132" i="6"/>
  <c r="D135" i="6" s="1"/>
  <c r="B12" i="1"/>
  <c r="B9" i="1"/>
  <c r="D149" i="6"/>
  <c r="G29" i="6"/>
  <c r="D38" i="5"/>
  <c r="H2" i="5"/>
  <c r="G37" i="5"/>
  <c r="C153" i="6"/>
  <c r="V12" i="6"/>
  <c r="F39" i="5"/>
  <c r="F46" i="5"/>
  <c r="D40" i="5" l="1"/>
  <c r="D42" i="5" s="1"/>
  <c r="E38" i="5" s="1"/>
  <c r="E40" i="5" s="1"/>
  <c r="E42" i="5" s="1"/>
  <c r="F38" i="5" s="1"/>
  <c r="F40" i="5" s="1"/>
  <c r="F42" i="5" s="1"/>
  <c r="G38" i="5" s="1"/>
  <c r="H148" i="6"/>
  <c r="G151" i="6"/>
  <c r="D150" i="6"/>
  <c r="D152" i="6"/>
  <c r="H131" i="6"/>
  <c r="G134" i="6"/>
  <c r="H29" i="6"/>
  <c r="C62" i="1"/>
  <c r="I2" i="5"/>
  <c r="H37" i="5"/>
  <c r="W12" i="6"/>
  <c r="D133" i="6"/>
  <c r="G46" i="5"/>
  <c r="G39" i="5"/>
  <c r="I148" i="6" l="1"/>
  <c r="H151" i="6"/>
  <c r="I131" i="6"/>
  <c r="H134" i="6"/>
  <c r="E149" i="6"/>
  <c r="D153" i="6"/>
  <c r="I29" i="6"/>
  <c r="D136" i="6"/>
  <c r="J2" i="5"/>
  <c r="I37" i="5"/>
  <c r="E132" i="6"/>
  <c r="X12" i="6"/>
  <c r="G40" i="5"/>
  <c r="G42" i="5" s="1"/>
  <c r="H38" i="5" s="1"/>
  <c r="H39" i="5"/>
  <c r="H46" i="5"/>
  <c r="J148" i="6" l="1"/>
  <c r="I151" i="6"/>
  <c r="J131" i="6"/>
  <c r="I134" i="6"/>
  <c r="E152" i="6"/>
  <c r="E153" i="6" s="1"/>
  <c r="E150" i="6"/>
  <c r="F149" i="6" s="1"/>
  <c r="F152" i="6" s="1"/>
  <c r="J29" i="6"/>
  <c r="J37" i="5"/>
  <c r="K2" i="5"/>
  <c r="E135" i="6"/>
  <c r="E133" i="6"/>
  <c r="Y12" i="6"/>
  <c r="H40" i="5"/>
  <c r="H42" i="5" s="1"/>
  <c r="I38" i="5" s="1"/>
  <c r="I46" i="5"/>
  <c r="I39" i="5"/>
  <c r="K148" i="6" l="1"/>
  <c r="J151" i="6"/>
  <c r="K131" i="6"/>
  <c r="J134" i="6"/>
  <c r="F153" i="6"/>
  <c r="F150" i="6"/>
  <c r="G149" i="6" s="1"/>
  <c r="G150" i="6" s="1"/>
  <c r="K29" i="6"/>
  <c r="K37" i="5"/>
  <c r="L2" i="5"/>
  <c r="E136" i="6"/>
  <c r="Z12" i="6"/>
  <c r="F132" i="6"/>
  <c r="J46" i="5"/>
  <c r="J39" i="5"/>
  <c r="I40" i="5"/>
  <c r="I42" i="5" s="1"/>
  <c r="J38" i="5" s="1"/>
  <c r="F135" i="6" l="1"/>
  <c r="F133" i="6"/>
  <c r="L148" i="6"/>
  <c r="K151" i="6"/>
  <c r="G152" i="6"/>
  <c r="G153" i="6" s="1"/>
  <c r="L131" i="6"/>
  <c r="H149" i="6"/>
  <c r="L29" i="6"/>
  <c r="L37" i="5"/>
  <c r="M2" i="5"/>
  <c r="AA12" i="6"/>
  <c r="K46" i="5"/>
  <c r="K39" i="5"/>
  <c r="J40" i="5"/>
  <c r="J42" i="5" s="1"/>
  <c r="K38" i="5" s="1"/>
  <c r="M148" i="6" l="1"/>
  <c r="L151" i="6"/>
  <c r="M131" i="6"/>
  <c r="L134" i="6"/>
  <c r="H152" i="6"/>
  <c r="H153" i="6" s="1"/>
  <c r="H150" i="6"/>
  <c r="I149" i="6" s="1"/>
  <c r="M29" i="6"/>
  <c r="M37" i="5"/>
  <c r="N2" i="5"/>
  <c r="AB12" i="6"/>
  <c r="F136" i="6"/>
  <c r="G132" i="6"/>
  <c r="K40" i="5"/>
  <c r="K42" i="5" s="1"/>
  <c r="L38" i="5" s="1"/>
  <c r="L39" i="5"/>
  <c r="L46" i="5"/>
  <c r="N148" i="6" l="1"/>
  <c r="M151" i="6"/>
  <c r="N131" i="6"/>
  <c r="M134" i="6"/>
  <c r="I152" i="6"/>
  <c r="I153" i="6" s="1"/>
  <c r="I150" i="6"/>
  <c r="J149" i="6" s="1"/>
  <c r="N29" i="6"/>
  <c r="N37" i="5"/>
  <c r="O2" i="5"/>
  <c r="G133" i="6"/>
  <c r="G135" i="6"/>
  <c r="AC12" i="6"/>
  <c r="L40" i="5"/>
  <c r="L42" i="5" s="1"/>
  <c r="M38" i="5" s="1"/>
  <c r="M39" i="5"/>
  <c r="M46" i="5"/>
  <c r="O148" i="6" l="1"/>
  <c r="N151" i="6"/>
  <c r="N134" i="6"/>
  <c r="O131" i="6"/>
  <c r="J152" i="6"/>
  <c r="J153" i="6" s="1"/>
  <c r="J150" i="6"/>
  <c r="K149" i="6" s="1"/>
  <c r="K150" i="6" s="1"/>
  <c r="O29" i="6"/>
  <c r="O37" i="5"/>
  <c r="P2" i="5"/>
  <c r="AD12" i="6"/>
  <c r="G136" i="6"/>
  <c r="H132" i="6"/>
  <c r="N46" i="5"/>
  <c r="N39" i="5"/>
  <c r="M40" i="5"/>
  <c r="M42" i="5" s="1"/>
  <c r="N38" i="5" s="1"/>
  <c r="P148" i="6" l="1"/>
  <c r="O151" i="6"/>
  <c r="O134" i="6"/>
  <c r="P131" i="6"/>
  <c r="P29" i="6"/>
  <c r="P37" i="5"/>
  <c r="Q2" i="5"/>
  <c r="K152" i="6"/>
  <c r="H133" i="6"/>
  <c r="H135" i="6"/>
  <c r="AE12" i="6"/>
  <c r="AF12" i="6" s="1"/>
  <c r="O46" i="5"/>
  <c r="O39" i="5"/>
  <c r="N40" i="5"/>
  <c r="N42" i="5" s="1"/>
  <c r="O38" i="5" s="1"/>
  <c r="Q148" i="6" l="1"/>
  <c r="P151" i="6"/>
  <c r="P134" i="6"/>
  <c r="Q131" i="6"/>
  <c r="AG12" i="6"/>
  <c r="AF16" i="6"/>
  <c r="AF14" i="6"/>
  <c r="AG13" i="6" s="1"/>
  <c r="L149" i="6"/>
  <c r="Q29" i="6"/>
  <c r="Q37" i="5"/>
  <c r="R2" i="5"/>
  <c r="I132" i="6"/>
  <c r="H136" i="6"/>
  <c r="K153" i="6"/>
  <c r="O40" i="5"/>
  <c r="O42" i="5" s="1"/>
  <c r="P38" i="5" s="1"/>
  <c r="P39" i="5"/>
  <c r="P46" i="5"/>
  <c r="R148" i="6" l="1"/>
  <c r="Q151" i="6"/>
  <c r="Q134" i="6"/>
  <c r="R131" i="6"/>
  <c r="L152" i="6"/>
  <c r="L153" i="6" s="1"/>
  <c r="L150" i="6"/>
  <c r="M149" i="6" s="1"/>
  <c r="M150" i="6" s="1"/>
  <c r="AG15" i="6"/>
  <c r="AH12" i="6"/>
  <c r="AG14" i="6"/>
  <c r="AH13" i="6" s="1"/>
  <c r="AG16" i="6"/>
  <c r="R29" i="6"/>
  <c r="S2" i="5"/>
  <c r="R37" i="5"/>
  <c r="I135" i="6"/>
  <c r="I133" i="6"/>
  <c r="Q46" i="5"/>
  <c r="Q39" i="5"/>
  <c r="P40" i="5"/>
  <c r="P42" i="5" s="1"/>
  <c r="Q38" i="5" s="1"/>
  <c r="S148" i="6" l="1"/>
  <c r="R151" i="6"/>
  <c r="R134" i="6"/>
  <c r="S131" i="6"/>
  <c r="M152" i="6"/>
  <c r="M153" i="6" s="1"/>
  <c r="AH15" i="6"/>
  <c r="AG17" i="6"/>
  <c r="AI12" i="6"/>
  <c r="AH14" i="6"/>
  <c r="AI13" i="6" s="1"/>
  <c r="AH16" i="6"/>
  <c r="S29" i="6"/>
  <c r="T2" i="5"/>
  <c r="S37" i="5"/>
  <c r="N149" i="6"/>
  <c r="N150" i="6" s="1"/>
  <c r="J132" i="6"/>
  <c r="I136" i="6"/>
  <c r="Q40" i="5"/>
  <c r="Q42" i="5" s="1"/>
  <c r="R38" i="5" s="1"/>
  <c r="R39" i="5"/>
  <c r="T148" i="6" l="1"/>
  <c r="S151" i="6"/>
  <c r="S134" i="6"/>
  <c r="T131" i="6"/>
  <c r="AH17" i="6"/>
  <c r="AI15" i="6"/>
  <c r="AJ12" i="6"/>
  <c r="AI16" i="6"/>
  <c r="AI14" i="6"/>
  <c r="AJ13" i="6" s="1"/>
  <c r="T29" i="6"/>
  <c r="U2" i="5"/>
  <c r="T37" i="5"/>
  <c r="J135" i="6"/>
  <c r="J133" i="6"/>
  <c r="N152" i="6"/>
  <c r="R40" i="5"/>
  <c r="R42" i="5" s="1"/>
  <c r="S38" i="5" s="1"/>
  <c r="S39" i="5"/>
  <c r="U148" i="6" l="1"/>
  <c r="T151" i="6"/>
  <c r="AJ15" i="6"/>
  <c r="T134" i="6"/>
  <c r="U131" i="6"/>
  <c r="AI17" i="6"/>
  <c r="AK12" i="6"/>
  <c r="AJ14" i="6"/>
  <c r="AK13" i="6" s="1"/>
  <c r="AJ16" i="6"/>
  <c r="AJ17" i="6" s="1"/>
  <c r="O149" i="6"/>
  <c r="U29" i="6"/>
  <c r="V2" i="5"/>
  <c r="U37" i="5"/>
  <c r="K132" i="6"/>
  <c r="K134" i="6" s="1"/>
  <c r="N153" i="6"/>
  <c r="J136" i="6"/>
  <c r="S40" i="5"/>
  <c r="S42" i="5" s="1"/>
  <c r="T38" i="5" s="1"/>
  <c r="T39" i="5"/>
  <c r="V148" i="6" l="1"/>
  <c r="U151" i="6"/>
  <c r="U134" i="6"/>
  <c r="V131" i="6"/>
  <c r="O152" i="6"/>
  <c r="O153" i="6" s="1"/>
  <c r="O150" i="6"/>
  <c r="AK15" i="6"/>
  <c r="AL12" i="6"/>
  <c r="AK14" i="6"/>
  <c r="AL13" i="6" s="1"/>
  <c r="AK16" i="6"/>
  <c r="P149" i="6"/>
  <c r="V29" i="6"/>
  <c r="W2" i="5"/>
  <c r="X2" i="5" s="1"/>
  <c r="Y2" i="5" s="1"/>
  <c r="Z2" i="5" s="1"/>
  <c r="AA2" i="5" s="1"/>
  <c r="AB2" i="5" s="1"/>
  <c r="AC2" i="5" s="1"/>
  <c r="AD2" i="5" s="1"/>
  <c r="AE2" i="5" s="1"/>
  <c r="AF2" i="5" s="1"/>
  <c r="V37" i="5"/>
  <c r="K133" i="6"/>
  <c r="K135" i="6"/>
  <c r="T40" i="5"/>
  <c r="T42" i="5" s="1"/>
  <c r="U38" i="5" s="1"/>
  <c r="U39" i="5"/>
  <c r="W148" i="6" l="1"/>
  <c r="V151" i="6"/>
  <c r="V134" i="6"/>
  <c r="W131" i="6"/>
  <c r="P152" i="6"/>
  <c r="P153" i="6" s="1"/>
  <c r="P150" i="6"/>
  <c r="AK17" i="6"/>
  <c r="AL15" i="6"/>
  <c r="AM12" i="6"/>
  <c r="AL14" i="6"/>
  <c r="AM13" i="6" s="1"/>
  <c r="AL16" i="6"/>
  <c r="Q149" i="6"/>
  <c r="W29" i="6"/>
  <c r="K136" i="6"/>
  <c r="L132" i="6"/>
  <c r="U40" i="5"/>
  <c r="U42" i="5" s="1"/>
  <c r="V38" i="5" s="1"/>
  <c r="V39" i="5"/>
  <c r="X148" i="6" l="1"/>
  <c r="W151" i="6"/>
  <c r="W134" i="6"/>
  <c r="X131" i="6"/>
  <c r="Q152" i="6"/>
  <c r="Q153" i="6" s="1"/>
  <c r="Q150" i="6"/>
  <c r="R149" i="6" s="1"/>
  <c r="R150" i="6" s="1"/>
  <c r="AL17" i="6"/>
  <c r="AM15" i="6"/>
  <c r="AN12" i="6"/>
  <c r="AM16" i="6"/>
  <c r="AM14" i="6"/>
  <c r="AN13" i="6" s="1"/>
  <c r="AN15" i="6" s="1"/>
  <c r="X29" i="6"/>
  <c r="L135" i="6"/>
  <c r="L133" i="6"/>
  <c r="V40" i="5"/>
  <c r="V42" i="5" s="1"/>
  <c r="Y148" i="6" l="1"/>
  <c r="X151" i="6"/>
  <c r="X134" i="6"/>
  <c r="Y131" i="6"/>
  <c r="AM17" i="6"/>
  <c r="AO12" i="6"/>
  <c r="AN16" i="6"/>
  <c r="AN17" i="6" s="1"/>
  <c r="AN14" i="6"/>
  <c r="AO13" i="6" s="1"/>
  <c r="Y29" i="6"/>
  <c r="R152" i="6"/>
  <c r="M132" i="6"/>
  <c r="L136" i="6"/>
  <c r="Z148" i="6" l="1"/>
  <c r="Y151" i="6"/>
  <c r="Y134" i="6"/>
  <c r="Z131" i="6"/>
  <c r="AO15" i="6"/>
  <c r="AO16" i="6"/>
  <c r="AO14" i="6"/>
  <c r="Z29" i="6"/>
  <c r="R153" i="6"/>
  <c r="M133" i="6"/>
  <c r="M135" i="6"/>
  <c r="S149" i="6"/>
  <c r="S150" i="6" s="1"/>
  <c r="AA148" i="6" l="1"/>
  <c r="Z151" i="6"/>
  <c r="Z134" i="6"/>
  <c r="AA131" i="6"/>
  <c r="AO17" i="6"/>
  <c r="AA29" i="6"/>
  <c r="M136" i="6"/>
  <c r="S152" i="6"/>
  <c r="N132" i="6"/>
  <c r="N135" i="6" s="1"/>
  <c r="AB148" i="6" l="1"/>
  <c r="AA151" i="6"/>
  <c r="AA134" i="6"/>
  <c r="AB131" i="6"/>
  <c r="AB29" i="6"/>
  <c r="S153" i="6"/>
  <c r="N133" i="6"/>
  <c r="T149" i="6"/>
  <c r="T150" i="6" s="1"/>
  <c r="AC148" i="6" l="1"/>
  <c r="AB151" i="6"/>
  <c r="AB134" i="6"/>
  <c r="AC131" i="6"/>
  <c r="AC29" i="6"/>
  <c r="T152" i="6"/>
  <c r="O132" i="6"/>
  <c r="N136" i="6"/>
  <c r="AD148" i="6" l="1"/>
  <c r="AC151" i="6"/>
  <c r="AC134" i="6"/>
  <c r="AD131" i="6"/>
  <c r="AD29" i="6"/>
  <c r="T153" i="6"/>
  <c r="U149" i="6"/>
  <c r="U150" i="6" s="1"/>
  <c r="O133" i="6"/>
  <c r="O135" i="6"/>
  <c r="AE148" i="6" l="1"/>
  <c r="AE151" i="6" s="1"/>
  <c r="AD151" i="6"/>
  <c r="AD134" i="6"/>
  <c r="AE131" i="6"/>
  <c r="AE134" i="6" s="1"/>
  <c r="AE29" i="6"/>
  <c r="AF29" i="6" s="1"/>
  <c r="AG29" i="6" s="1"/>
  <c r="AH29" i="6" s="1"/>
  <c r="AI29" i="6" s="1"/>
  <c r="AJ29" i="6" s="1"/>
  <c r="AK29" i="6" s="1"/>
  <c r="AL29" i="6" s="1"/>
  <c r="AM29" i="6" s="1"/>
  <c r="AN29" i="6" s="1"/>
  <c r="AO29" i="6" s="1"/>
  <c r="P132" i="6"/>
  <c r="U152" i="6"/>
  <c r="O136" i="6"/>
  <c r="V149" i="6" l="1"/>
  <c r="U153" i="6"/>
  <c r="P135" i="6"/>
  <c r="P133" i="6"/>
  <c r="V152" i="6" l="1"/>
  <c r="V153" i="6" s="1"/>
  <c r="V150" i="6"/>
  <c r="W149" i="6" s="1"/>
  <c r="W150" i="6" s="1"/>
  <c r="P136" i="6"/>
  <c r="Q132" i="6"/>
  <c r="Q133" i="6" l="1"/>
  <c r="R132" i="6" s="1"/>
  <c r="Q135" i="6"/>
  <c r="W152" i="6"/>
  <c r="W153" i="6" l="1"/>
  <c r="Q136" i="6"/>
  <c r="X149" i="6"/>
  <c r="X150" i="6" s="1"/>
  <c r="R135" i="6"/>
  <c r="R133" i="6"/>
  <c r="S132" i="6" s="1"/>
  <c r="X152" i="6" l="1"/>
  <c r="R136" i="6"/>
  <c r="S133" i="6"/>
  <c r="T132" i="6" s="1"/>
  <c r="S135" i="6"/>
  <c r="Y149" i="6" l="1"/>
  <c r="T135" i="6"/>
  <c r="T133" i="6"/>
  <c r="U132" i="6" s="1"/>
  <c r="X153" i="6"/>
  <c r="S136" i="6"/>
  <c r="Y152" i="6" l="1"/>
  <c r="Y153" i="6" s="1"/>
  <c r="Y150" i="6"/>
  <c r="Z149" i="6" s="1"/>
  <c r="Z150" i="6" s="1"/>
  <c r="U135" i="6"/>
  <c r="U133" i="6"/>
  <c r="V132" i="6" s="1"/>
  <c r="T136" i="6"/>
  <c r="V135" i="6" l="1"/>
  <c r="V133" i="6"/>
  <c r="W132" i="6" s="1"/>
  <c r="U136" i="6"/>
  <c r="Z152" i="6"/>
  <c r="V136" i="6" l="1"/>
  <c r="Z153" i="6"/>
  <c r="AA149" i="6"/>
  <c r="AA150" i="6" s="1"/>
  <c r="W133" i="6"/>
  <c r="X132" i="6" s="1"/>
  <c r="W135" i="6"/>
  <c r="W136" i="6" l="1"/>
  <c r="X135" i="6"/>
  <c r="X133" i="6"/>
  <c r="Y132" i="6" s="1"/>
  <c r="AA152" i="6"/>
  <c r="AB149" i="6" l="1"/>
  <c r="Y133" i="6"/>
  <c r="Z132" i="6" s="1"/>
  <c r="Z135" i="6" s="1"/>
  <c r="Y135" i="6"/>
  <c r="AA153" i="6"/>
  <c r="X136" i="6"/>
  <c r="AB152" i="6" l="1"/>
  <c r="AB153" i="6" s="1"/>
  <c r="AB150" i="6"/>
  <c r="AC149" i="6" s="1"/>
  <c r="AC150" i="6" s="1"/>
  <c r="Z133" i="6"/>
  <c r="AA132" i="6" s="1"/>
  <c r="Y136" i="6"/>
  <c r="Z136" i="6" l="1"/>
  <c r="AC152" i="6"/>
  <c r="AA135" i="6"/>
  <c r="AA133" i="6"/>
  <c r="AB132" i="6" s="1"/>
  <c r="AD149" i="6" l="1"/>
  <c r="AB135" i="6"/>
  <c r="AB133" i="6"/>
  <c r="AC132" i="6" s="1"/>
  <c r="AA136" i="6"/>
  <c r="AC153" i="6"/>
  <c r="AD152" i="6" l="1"/>
  <c r="AD153" i="6" s="1"/>
  <c r="AD150" i="6"/>
  <c r="AE149" i="6" s="1"/>
  <c r="AC135" i="6"/>
  <c r="AC133" i="6"/>
  <c r="AD132" i="6" s="1"/>
  <c r="AB136" i="6"/>
  <c r="AE152" i="6" l="1"/>
  <c r="AE153" i="6" s="1"/>
  <c r="AE150" i="6"/>
  <c r="AD135" i="6"/>
  <c r="AD133" i="6"/>
  <c r="AE132" i="6" s="1"/>
  <c r="AC136" i="6"/>
  <c r="AD136" i="6" l="1"/>
  <c r="AE133" i="6"/>
  <c r="AE135" i="6"/>
  <c r="AE136" i="6" l="1"/>
  <c r="B78" i="5" l="1"/>
  <c r="G28" i="3"/>
  <c r="G29" i="3" s="1"/>
  <c r="G38" i="3" s="1"/>
  <c r="C7" i="5" l="1"/>
  <c r="D7" i="5" s="1"/>
  <c r="E7" i="5" s="1"/>
  <c r="F7" i="5" s="1"/>
  <c r="G7" i="5" s="1"/>
  <c r="H7" i="5" s="1"/>
  <c r="I7" i="5" s="1"/>
  <c r="J7" i="5" s="1"/>
  <c r="K7" i="5" l="1"/>
  <c r="L7" i="5" s="1"/>
  <c r="M7" i="5" s="1"/>
  <c r="N7" i="5" s="1"/>
  <c r="O7" i="5" s="1"/>
  <c r="P7" i="5" s="1"/>
  <c r="Q7" i="5" s="1"/>
  <c r="R7" i="5" s="1"/>
  <c r="S7" i="5" s="1"/>
  <c r="T7" i="5" s="1"/>
  <c r="U7" i="5" s="1"/>
  <c r="V7" i="5" s="1"/>
  <c r="W7" i="5" s="1"/>
  <c r="X7" i="5" s="1"/>
  <c r="Y7" i="5" s="1"/>
  <c r="Z7" i="5" s="1"/>
  <c r="AA7" i="5" s="1"/>
  <c r="AB7" i="5" s="1"/>
  <c r="AC7" i="5" s="1"/>
  <c r="AD7" i="5" s="1"/>
  <c r="AE7" i="5" s="1"/>
  <c r="AF7" i="5" s="1"/>
  <c r="C8" i="5"/>
  <c r="D8" i="5" l="1"/>
  <c r="AR88" i="2"/>
  <c r="F59" i="5"/>
  <c r="E8" i="5" l="1"/>
  <c r="G59" i="5"/>
  <c r="H59" i="5"/>
  <c r="L59" i="5"/>
  <c r="I59" i="5"/>
  <c r="E59" i="5"/>
  <c r="J59" i="5"/>
  <c r="D59" i="5"/>
  <c r="K59" i="5"/>
  <c r="F8" i="5" l="1"/>
  <c r="B79" i="5"/>
  <c r="B6" i="6"/>
  <c r="B14" i="6" s="1"/>
  <c r="B15" i="6" l="1"/>
  <c r="B16" i="6" s="1"/>
  <c r="G8" i="5"/>
  <c r="U14" i="6"/>
  <c r="V13" i="6" s="1"/>
  <c r="V15" i="6" s="1"/>
  <c r="B17" i="6" l="1"/>
  <c r="B395" i="6"/>
  <c r="C48" i="5" s="1"/>
  <c r="C47" i="6"/>
  <c r="C49" i="6" s="1"/>
  <c r="H8" i="5"/>
  <c r="P14" i="6"/>
  <c r="Q14" i="6"/>
  <c r="R13" i="6" s="1"/>
  <c r="R15" i="6" s="1"/>
  <c r="J14" i="6"/>
  <c r="AD14" i="6"/>
  <c r="AE13" i="6" s="1"/>
  <c r="AE15" i="6" s="1"/>
  <c r="S14" i="6"/>
  <c r="T13" i="6" s="1"/>
  <c r="T15" i="6" s="1"/>
  <c r="AC14" i="6"/>
  <c r="AD13" i="6" s="1"/>
  <c r="AD15" i="6" s="1"/>
  <c r="H14" i="6"/>
  <c r="AB14" i="6"/>
  <c r="AC13" i="6" s="1"/>
  <c r="AC15" i="6" s="1"/>
  <c r="L13" i="6"/>
  <c r="L15" i="6" s="1"/>
  <c r="R14" i="6"/>
  <c r="S13" i="6" s="1"/>
  <c r="S15" i="6" s="1"/>
  <c r="X14" i="6"/>
  <c r="Y13" i="6" s="1"/>
  <c r="Y15" i="6" s="1"/>
  <c r="O14" i="6"/>
  <c r="V14" i="6"/>
  <c r="W13" i="6" s="1"/>
  <c r="W15" i="6" s="1"/>
  <c r="W14" i="6"/>
  <c r="X13" i="6" s="1"/>
  <c r="X15" i="6" s="1"/>
  <c r="N14" i="6"/>
  <c r="G14" i="6"/>
  <c r="I14" i="6"/>
  <c r="L14" i="6"/>
  <c r="C13" i="6"/>
  <c r="C15" i="6" s="1"/>
  <c r="AE14" i="6"/>
  <c r="AF13" i="6" s="1"/>
  <c r="AF15" i="6" s="1"/>
  <c r="AF17" i="6" s="1"/>
  <c r="Y16" i="6"/>
  <c r="M14" i="6"/>
  <c r="AA14" i="6"/>
  <c r="AB13" i="6" s="1"/>
  <c r="AB15" i="6" s="1"/>
  <c r="T14" i="6"/>
  <c r="U13" i="6" s="1"/>
  <c r="U15" i="6" s="1"/>
  <c r="E14" i="6"/>
  <c r="Z14" i="6"/>
  <c r="AA13" i="6" s="1"/>
  <c r="AA15" i="6" s="1"/>
  <c r="F14" i="6"/>
  <c r="D14" i="6"/>
  <c r="Y14" i="6"/>
  <c r="Z13" i="6" s="1"/>
  <c r="Z15" i="6" s="1"/>
  <c r="W16" i="6"/>
  <c r="AE16" i="6"/>
  <c r="N13" i="6" l="1"/>
  <c r="N15" i="6" s="1"/>
  <c r="M13" i="6"/>
  <c r="G13" i="6"/>
  <c r="G15" i="6" s="1"/>
  <c r="K13" i="6"/>
  <c r="K15" i="6" s="1"/>
  <c r="F13" i="6"/>
  <c r="F15" i="6" s="1"/>
  <c r="Q13" i="6"/>
  <c r="Q15" i="6" s="1"/>
  <c r="P13" i="6"/>
  <c r="P15" i="6" s="1"/>
  <c r="C51" i="6"/>
  <c r="B51" i="6"/>
  <c r="D13" i="6"/>
  <c r="D15" i="6" s="1"/>
  <c r="I8" i="5"/>
  <c r="B69" i="4"/>
  <c r="P16" i="6"/>
  <c r="R16" i="6"/>
  <c r="T16" i="6"/>
  <c r="I13" i="6"/>
  <c r="I15" i="6" s="1"/>
  <c r="Q16" i="6"/>
  <c r="M16" i="6"/>
  <c r="O13" i="6"/>
  <c r="O15" i="6" s="1"/>
  <c r="H13" i="6"/>
  <c r="H15" i="6" s="1"/>
  <c r="M15" i="6"/>
  <c r="AB16" i="6"/>
  <c r="J13" i="6"/>
  <c r="J16" i="6" s="1"/>
  <c r="U16" i="6"/>
  <c r="AA16" i="6"/>
  <c r="G16" i="6"/>
  <c r="E13" i="6"/>
  <c r="E15" i="6" s="1"/>
  <c r="AC16" i="6"/>
  <c r="Z16" i="6"/>
  <c r="S16" i="6"/>
  <c r="N16" i="6"/>
  <c r="F16" i="6"/>
  <c r="L16" i="6"/>
  <c r="K16" i="6"/>
  <c r="X16" i="6"/>
  <c r="AD16" i="6"/>
  <c r="V16" i="6"/>
  <c r="W17" i="6"/>
  <c r="X16" i="5" s="1"/>
  <c r="AE17" i="6"/>
  <c r="AF16" i="5" s="1"/>
  <c r="Y17" i="6"/>
  <c r="Z16" i="5" s="1"/>
  <c r="D16" i="6"/>
  <c r="R17" i="6" l="1"/>
  <c r="S16" i="5" s="1"/>
  <c r="N17" i="6"/>
  <c r="O16" i="5" s="1"/>
  <c r="AC17" i="6"/>
  <c r="AD16" i="5" s="1"/>
  <c r="G17" i="6"/>
  <c r="H16" i="5" s="1"/>
  <c r="P17" i="6"/>
  <c r="Q16" i="5" s="1"/>
  <c r="E75" i="4"/>
  <c r="E69" i="4"/>
  <c r="J8" i="5"/>
  <c r="C69" i="4"/>
  <c r="D69" i="4" s="1"/>
  <c r="I16" i="6"/>
  <c r="Q17" i="6"/>
  <c r="R16" i="5" s="1"/>
  <c r="J15" i="6"/>
  <c r="J17" i="6" s="1"/>
  <c r="K16" i="5" s="1"/>
  <c r="M17" i="6"/>
  <c r="N16" i="5" s="1"/>
  <c r="T17" i="6"/>
  <c r="U16" i="5" s="1"/>
  <c r="L17" i="6"/>
  <c r="M16" i="5" s="1"/>
  <c r="AB17" i="6"/>
  <c r="AC16" i="5" s="1"/>
  <c r="S17" i="6"/>
  <c r="T16" i="5" s="1"/>
  <c r="H16" i="6"/>
  <c r="O16" i="6"/>
  <c r="E16" i="6"/>
  <c r="F17" i="6"/>
  <c r="G16" i="5" s="1"/>
  <c r="V17" i="6"/>
  <c r="W16" i="5" s="1"/>
  <c r="AD17" i="6"/>
  <c r="AE16" i="5" s="1"/>
  <c r="K17" i="6"/>
  <c r="L16" i="5" s="1"/>
  <c r="X17" i="6"/>
  <c r="Y16" i="5" s="1"/>
  <c r="U17" i="6"/>
  <c r="V16" i="5" s="1"/>
  <c r="AA17" i="6"/>
  <c r="AB16" i="5" s="1"/>
  <c r="Z17" i="6"/>
  <c r="AA16" i="5" s="1"/>
  <c r="C17" i="6"/>
  <c r="D16" i="5" s="1"/>
  <c r="D17" i="6"/>
  <c r="E16" i="5" s="1"/>
  <c r="C16" i="5"/>
  <c r="O17" i="6" l="1"/>
  <c r="P16" i="5" s="1"/>
  <c r="I17" i="6"/>
  <c r="J16" i="5" s="1"/>
  <c r="C75" i="4"/>
  <c r="D75" i="4" s="1"/>
  <c r="E79" i="4"/>
  <c r="K8" i="5"/>
  <c r="H17" i="6"/>
  <c r="I16" i="5" s="1"/>
  <c r="E17" i="6"/>
  <c r="F16" i="5" s="1"/>
  <c r="C79" i="4" l="1"/>
  <c r="C102" i="2" s="1"/>
  <c r="C10" i="5"/>
  <c r="D10" i="5" s="1"/>
  <c r="E10" i="5" s="1"/>
  <c r="F10" i="5" s="1"/>
  <c r="G10" i="5" s="1"/>
  <c r="H10" i="5" s="1"/>
  <c r="I10" i="5" s="1"/>
  <c r="J10" i="5" s="1"/>
  <c r="K10" i="5" s="1"/>
  <c r="L10" i="5" s="1"/>
  <c r="M10" i="5" s="1"/>
  <c r="N10" i="5" s="1"/>
  <c r="O10" i="5" s="1"/>
  <c r="P10" i="5" s="1"/>
  <c r="Q10" i="5" s="1"/>
  <c r="R10" i="5" s="1"/>
  <c r="S10" i="5" s="1"/>
  <c r="T10" i="5" s="1"/>
  <c r="U10" i="5" s="1"/>
  <c r="V10" i="5" s="1"/>
  <c r="W10" i="5" s="1"/>
  <c r="X10" i="5" s="1"/>
  <c r="Y10" i="5" s="1"/>
  <c r="Z10" i="5" s="1"/>
  <c r="AA10" i="5" s="1"/>
  <c r="AB10" i="5" s="1"/>
  <c r="AC10" i="5" s="1"/>
  <c r="AD10" i="5" s="1"/>
  <c r="AE10" i="5" s="1"/>
  <c r="AF10" i="5" s="1"/>
  <c r="L8" i="5"/>
  <c r="D79" i="4" l="1"/>
  <c r="C101" i="2"/>
  <c r="C12" i="5"/>
  <c r="E25" i="19" s="1"/>
  <c r="C100" i="2"/>
  <c r="M8" i="5"/>
  <c r="C24" i="5" l="1"/>
  <c r="H59" i="1" s="1"/>
  <c r="C14" i="5"/>
  <c r="D12" i="5"/>
  <c r="D14" i="5" s="1"/>
  <c r="D45" i="5" s="1"/>
  <c r="E12" i="5"/>
  <c r="E24" i="5" s="1"/>
  <c r="N8" i="5"/>
  <c r="F12" i="5"/>
  <c r="B399" i="6" l="1"/>
  <c r="B401" i="6" s="1"/>
  <c r="C18" i="5"/>
  <c r="C45" i="5"/>
  <c r="C22" i="5"/>
  <c r="H60" i="1" s="1"/>
  <c r="E14" i="5"/>
  <c r="E45" i="5" s="1"/>
  <c r="D24" i="5"/>
  <c r="O8" i="5"/>
  <c r="F14" i="5"/>
  <c r="F45" i="5" s="1"/>
  <c r="F24" i="5"/>
  <c r="G12" i="5"/>
  <c r="C399" i="6" l="1"/>
  <c r="C19" i="5"/>
  <c r="C30" i="5" s="1"/>
  <c r="E26" i="19"/>
  <c r="C26" i="19"/>
  <c r="C23" i="5"/>
  <c r="D399" i="6"/>
  <c r="P8" i="5"/>
  <c r="G14" i="5"/>
  <c r="G45" i="5" s="1"/>
  <c r="G24" i="5"/>
  <c r="H12" i="5"/>
  <c r="C20" i="5" l="1"/>
  <c r="C27" i="5"/>
  <c r="C28" i="5" s="1"/>
  <c r="E399" i="6"/>
  <c r="Q8" i="5"/>
  <c r="H14" i="5"/>
  <c r="H45" i="5" s="1"/>
  <c r="H24" i="5"/>
  <c r="I12" i="5"/>
  <c r="C35" i="5" l="1"/>
  <c r="D26" i="5" s="1"/>
  <c r="F399" i="6"/>
  <c r="R8" i="5"/>
  <c r="I14" i="5"/>
  <c r="I45" i="5" s="1"/>
  <c r="I24" i="5"/>
  <c r="J12" i="5"/>
  <c r="G399" i="6" l="1"/>
  <c r="S8" i="5"/>
  <c r="J14" i="5"/>
  <c r="J45" i="5" s="1"/>
  <c r="J24" i="5"/>
  <c r="K12" i="5"/>
  <c r="H399" i="6" l="1"/>
  <c r="T8" i="5"/>
  <c r="K14" i="5"/>
  <c r="K45" i="5" s="1"/>
  <c r="K24" i="5"/>
  <c r="L12" i="5"/>
  <c r="I399" i="6" l="1"/>
  <c r="U8" i="5"/>
  <c r="L14" i="5"/>
  <c r="L45" i="5" s="1"/>
  <c r="L24" i="5"/>
  <c r="M12" i="5"/>
  <c r="M14" i="5" s="1"/>
  <c r="J399" i="6" l="1"/>
  <c r="V8" i="5"/>
  <c r="N12" i="5"/>
  <c r="N14" i="5" s="1"/>
  <c r="M45" i="5"/>
  <c r="K399" i="6" l="1"/>
  <c r="W8" i="5"/>
  <c r="O12" i="5"/>
  <c r="O14" i="5" s="1"/>
  <c r="N45" i="5"/>
  <c r="L399" i="6" l="1"/>
  <c r="X8" i="5"/>
  <c r="O45" i="5"/>
  <c r="P12" i="5"/>
  <c r="P14" i="5" s="1"/>
  <c r="M399" i="6" l="1"/>
  <c r="Y8" i="5"/>
  <c r="P45" i="5"/>
  <c r="Q12" i="5"/>
  <c r="Q14" i="5" s="1"/>
  <c r="N399" i="6" l="1"/>
  <c r="Z8" i="5"/>
  <c r="Q45" i="5"/>
  <c r="R12" i="5"/>
  <c r="R14" i="5" s="1"/>
  <c r="O399" i="6" l="1"/>
  <c r="AA8" i="5"/>
  <c r="S12" i="5"/>
  <c r="S14" i="5" s="1"/>
  <c r="P399" i="6" l="1"/>
  <c r="AB8" i="5"/>
  <c r="T12" i="5"/>
  <c r="T14" i="5" s="1"/>
  <c r="AC8" i="5" l="1"/>
  <c r="U12" i="5"/>
  <c r="U14" i="5" s="1"/>
  <c r="AD8" i="5" l="1"/>
  <c r="V12" i="5"/>
  <c r="V14" i="5" s="1"/>
  <c r="AF8" i="5" l="1"/>
  <c r="AE8" i="5"/>
  <c r="W12" i="5"/>
  <c r="W14" i="5" s="1"/>
  <c r="X12" i="5" l="1"/>
  <c r="X14" i="5" s="1"/>
  <c r="Y12" i="5" l="1"/>
  <c r="Y14" i="5" s="1"/>
  <c r="Z12" i="5" l="1"/>
  <c r="Z14" i="5" s="1"/>
  <c r="AA12" i="5" l="1"/>
  <c r="AA14" i="5" s="1"/>
  <c r="AB12" i="5" l="1"/>
  <c r="AB14" i="5" s="1"/>
  <c r="AC12" i="5" l="1"/>
  <c r="AC14" i="5" s="1"/>
  <c r="AD12" i="5" l="1"/>
  <c r="AD14" i="5" s="1"/>
  <c r="AE12" i="5" l="1"/>
  <c r="AE14" i="5" s="1"/>
  <c r="AF12" i="5"/>
  <c r="AF14" i="5" s="1"/>
  <c r="D30" i="6" l="1"/>
  <c r="D31" i="6" l="1" a="1"/>
  <c r="D31" i="6" s="1"/>
  <c r="E30" i="6"/>
  <c r="E31" i="6" s="1" a="1"/>
  <c r="E31" i="6" s="1"/>
  <c r="D48" i="5"/>
  <c r="D52" i="5" s="1"/>
  <c r="D55" i="5" s="1"/>
  <c r="D60" i="5" s="1"/>
  <c r="D68" i="5" s="1"/>
  <c r="D69" i="5" s="1"/>
  <c r="D32" i="6" l="1" a="1"/>
  <c r="D32" i="6" s="1"/>
  <c r="F30" i="6"/>
  <c r="F31" i="6" s="1" a="1"/>
  <c r="F31" i="6" s="1"/>
  <c r="C34" i="6"/>
  <c r="D17" i="5" s="1"/>
  <c r="D33" i="6" l="1" a="1"/>
  <c r="D33" i="6" s="1"/>
  <c r="E32" i="6" a="1"/>
  <c r="E32" i="6" s="1"/>
  <c r="E33" i="6" s="1" a="1"/>
  <c r="E33" i="6" s="1"/>
  <c r="E395" i="6" s="1"/>
  <c r="G30" i="6"/>
  <c r="G31" i="6" s="1" a="1"/>
  <c r="G31" i="6" s="1"/>
  <c r="D22" i="5"/>
  <c r="D18" i="5"/>
  <c r="D395" i="6" l="1"/>
  <c r="E48" i="5" s="1"/>
  <c r="E52" i="5" s="1"/>
  <c r="E55" i="5" s="1"/>
  <c r="E60" i="5" s="1"/>
  <c r="E68" i="5" s="1"/>
  <c r="E69" i="5" s="1"/>
  <c r="F32" i="6" a="1"/>
  <c r="F32" i="6" s="1"/>
  <c r="F33" i="6" s="1" a="1"/>
  <c r="F33" i="6" s="1"/>
  <c r="F395" i="6" s="1"/>
  <c r="H30" i="6"/>
  <c r="H31" i="6" s="1" a="1"/>
  <c r="H31" i="6" s="1"/>
  <c r="D34" i="6"/>
  <c r="E17" i="5" s="1"/>
  <c r="D19" i="5"/>
  <c r="D30" i="5" s="1"/>
  <c r="F48" i="5"/>
  <c r="F52" i="5" s="1"/>
  <c r="F55" i="5" s="1"/>
  <c r="F60" i="5" s="1"/>
  <c r="F68" i="5" s="1"/>
  <c r="F69" i="5" s="1"/>
  <c r="G32" i="6" l="1" a="1"/>
  <c r="G32" i="6" s="1"/>
  <c r="G33" i="6" s="1" a="1"/>
  <c r="G33" i="6" s="1"/>
  <c r="G395" i="6" s="1"/>
  <c r="I30" i="6"/>
  <c r="I31" i="6" s="1" a="1"/>
  <c r="I31" i="6" s="1"/>
  <c r="D20" i="5"/>
  <c r="D23" i="5" s="1"/>
  <c r="E34" i="6"/>
  <c r="F22" i="5" s="1"/>
  <c r="G48" i="5"/>
  <c r="G52" i="5" s="1"/>
  <c r="G55" i="5" s="1"/>
  <c r="G60" i="5" s="1"/>
  <c r="G68" i="5" s="1"/>
  <c r="G69" i="5" s="1"/>
  <c r="E22" i="5"/>
  <c r="E18" i="5"/>
  <c r="H32" i="6" l="1" a="1"/>
  <c r="H32" i="6" s="1"/>
  <c r="H33" i="6" s="1" a="1"/>
  <c r="H33" i="6" s="1"/>
  <c r="H395" i="6" s="1"/>
  <c r="J30" i="6"/>
  <c r="J31" i="6" s="1" a="1"/>
  <c r="J31" i="6" s="1"/>
  <c r="D27" i="5"/>
  <c r="F18" i="5"/>
  <c r="F19" i="5" s="1"/>
  <c r="F30" i="5" s="1"/>
  <c r="H48" i="5"/>
  <c r="H52" i="5" s="1"/>
  <c r="H55" i="5" s="1"/>
  <c r="H60" i="5" s="1"/>
  <c r="H68" i="5" s="1"/>
  <c r="H69" i="5" s="1"/>
  <c r="F34" i="6"/>
  <c r="G17" i="5" s="1"/>
  <c r="E19" i="5"/>
  <c r="E30" i="5" s="1"/>
  <c r="I32" i="6" l="1" a="1"/>
  <c r="I32" i="6" s="1"/>
  <c r="I33" i="6" s="1" a="1"/>
  <c r="I33" i="6" s="1"/>
  <c r="I395" i="6" s="1"/>
  <c r="K30" i="6"/>
  <c r="K31" i="6" s="1" a="1"/>
  <c r="K31" i="6" s="1"/>
  <c r="D28" i="5"/>
  <c r="D35" i="5" s="1"/>
  <c r="E26" i="5" s="1"/>
  <c r="I48" i="5"/>
  <c r="I52" i="5" s="1"/>
  <c r="I55" i="5" s="1"/>
  <c r="I60" i="5" s="1"/>
  <c r="I68" i="5" s="1"/>
  <c r="I69" i="5" s="1"/>
  <c r="G18" i="5"/>
  <c r="G22" i="5"/>
  <c r="E20" i="5"/>
  <c r="E23" i="5" s="1"/>
  <c r="F20" i="5"/>
  <c r="F23" i="5" s="1"/>
  <c r="G34" i="6"/>
  <c r="H17" i="5" s="1"/>
  <c r="L30" i="6" l="1"/>
  <c r="K32" i="6" a="1"/>
  <c r="K32" i="6" s="1"/>
  <c r="K33" i="6" s="1" a="1"/>
  <c r="K33" i="6" s="1"/>
  <c r="K395" i="6" s="1"/>
  <c r="J32" i="6" a="1"/>
  <c r="J32" i="6" s="1"/>
  <c r="J33" i="6" s="1" a="1"/>
  <c r="J33" i="6" s="1"/>
  <c r="J395" i="6" s="1"/>
  <c r="H22" i="5"/>
  <c r="H18" i="5"/>
  <c r="J48" i="5"/>
  <c r="J52" i="5" s="1"/>
  <c r="J55" i="5" s="1"/>
  <c r="J60" i="5" s="1"/>
  <c r="J68" i="5" s="1"/>
  <c r="J69" i="5" s="1"/>
  <c r="G19" i="5"/>
  <c r="G30" i="5" s="1"/>
  <c r="F27" i="5"/>
  <c r="E27" i="5"/>
  <c r="E28" i="5" s="1"/>
  <c r="H34" i="6"/>
  <c r="I17" i="5" s="1"/>
  <c r="L31" i="6" l="1" a="1"/>
  <c r="L31" i="6" s="1"/>
  <c r="E35" i="5"/>
  <c r="F26" i="5" s="1"/>
  <c r="F28" i="5" s="1"/>
  <c r="I34" i="6"/>
  <c r="J17" i="5" s="1"/>
  <c r="J22" i="5" s="1"/>
  <c r="I22" i="5"/>
  <c r="I18" i="5"/>
  <c r="H19" i="5"/>
  <c r="H30" i="5" s="1"/>
  <c r="K48" i="5"/>
  <c r="K52" i="5" s="1"/>
  <c r="K55" i="5" s="1"/>
  <c r="K60" i="5" s="1"/>
  <c r="K68" i="5" s="1"/>
  <c r="K69" i="5" s="1"/>
  <c r="G20" i="5"/>
  <c r="G23" i="5" s="1"/>
  <c r="L32" i="6" l="1" a="1"/>
  <c r="L32" i="6" s="1"/>
  <c r="L33" i="6" s="1" a="1"/>
  <c r="L33" i="6" s="1"/>
  <c r="L395" i="6" s="1"/>
  <c r="M30" i="6"/>
  <c r="M31" i="6" s="1" a="1"/>
  <c r="M31" i="6" s="1"/>
  <c r="F35" i="5"/>
  <c r="G26" i="5" s="1"/>
  <c r="J18" i="5"/>
  <c r="J19" i="5" s="1"/>
  <c r="J30" i="5" s="1"/>
  <c r="G27" i="5"/>
  <c r="J34" i="6"/>
  <c r="K17" i="5" s="1"/>
  <c r="L48" i="5"/>
  <c r="L52" i="5" s="1"/>
  <c r="L55" i="5" s="1"/>
  <c r="L60" i="5" s="1"/>
  <c r="L68" i="5" s="1"/>
  <c r="L69" i="5" s="1"/>
  <c r="H20" i="5"/>
  <c r="H23" i="5" s="1"/>
  <c r="I19" i="5"/>
  <c r="I30" i="5" s="1"/>
  <c r="N30" i="6" l="1"/>
  <c r="N31" i="6" s="1" a="1"/>
  <c r="N31" i="6" s="1"/>
  <c r="M32" i="6" a="1"/>
  <c r="M32" i="6" s="1"/>
  <c r="M33" i="6" s="1" a="1"/>
  <c r="M33" i="6" s="1"/>
  <c r="M395" i="6" s="1"/>
  <c r="G28" i="5"/>
  <c r="G35" i="5" s="1"/>
  <c r="H26" i="5" s="1"/>
  <c r="J20" i="5"/>
  <c r="M48" i="5"/>
  <c r="M52" i="5" s="1"/>
  <c r="M55" i="5" s="1"/>
  <c r="M60" i="5" s="1"/>
  <c r="M68" i="5" s="1"/>
  <c r="M69" i="5" s="1"/>
  <c r="K34" i="6"/>
  <c r="L17" i="5" s="1"/>
  <c r="I20" i="5"/>
  <c r="I23" i="5" s="1"/>
  <c r="K22" i="5"/>
  <c r="K18" i="5"/>
  <c r="P30" i="6"/>
  <c r="P31" i="6" s="1" a="1"/>
  <c r="P31" i="6" s="1"/>
  <c r="H27" i="5"/>
  <c r="N32" i="6" l="1" a="1"/>
  <c r="N32" i="6" s="1"/>
  <c r="N33" i="6" s="1" a="1"/>
  <c r="N33" i="6" s="1"/>
  <c r="N395" i="6" s="1"/>
  <c r="O30" i="6"/>
  <c r="O31" i="6" s="1" a="1"/>
  <c r="O31" i="6" s="1"/>
  <c r="J27" i="5"/>
  <c r="J23" i="5"/>
  <c r="H28" i="5"/>
  <c r="H35" i="5" s="1"/>
  <c r="I26" i="5" s="1"/>
  <c r="K19" i="5"/>
  <c r="K30" i="5" s="1"/>
  <c r="I27" i="5"/>
  <c r="L22" i="5"/>
  <c r="L18" i="5"/>
  <c r="N48" i="5"/>
  <c r="N52" i="5" s="1"/>
  <c r="N55" i="5" s="1"/>
  <c r="N60" i="5" s="1"/>
  <c r="N68" i="5" s="1"/>
  <c r="N69" i="5" s="1"/>
  <c r="Q30" i="6"/>
  <c r="Q31" i="6" s="1" a="1"/>
  <c r="Q31" i="6" s="1"/>
  <c r="L34" i="6"/>
  <c r="M17" i="5" s="1"/>
  <c r="O32" i="6" l="1" a="1"/>
  <c r="O32" i="6" s="1"/>
  <c r="O33" i="6" s="1" a="1"/>
  <c r="O33" i="6" s="1"/>
  <c r="O395" i="6" s="1"/>
  <c r="P32" i="6" a="1"/>
  <c r="P32" i="6" s="1"/>
  <c r="P33" i="6" s="1" a="1"/>
  <c r="P33" i="6" s="1"/>
  <c r="P395" i="6" s="1"/>
  <c r="I28" i="5"/>
  <c r="I35" i="5" s="1"/>
  <c r="J26" i="5" s="1"/>
  <c r="M34" i="6"/>
  <c r="N17" i="5" s="1"/>
  <c r="M22" i="5"/>
  <c r="M18" i="5"/>
  <c r="L19" i="5"/>
  <c r="L30" i="5" s="1"/>
  <c r="R30" i="6"/>
  <c r="R31" i="6" s="1" a="1"/>
  <c r="R31" i="6" s="1"/>
  <c r="O48" i="5"/>
  <c r="O52" i="5" s="1"/>
  <c r="O55" i="5" s="1"/>
  <c r="O60" i="5" s="1"/>
  <c r="O68" i="5" s="1"/>
  <c r="O69" i="5" s="1"/>
  <c r="K20" i="5"/>
  <c r="K23" i="5" s="1"/>
  <c r="S30" i="6" l="1"/>
  <c r="S31" i="6" s="1" a="1"/>
  <c r="S31" i="6" s="1"/>
  <c r="R32" i="6" a="1"/>
  <c r="R32" i="6" s="1"/>
  <c r="R33" i="6" s="1" a="1"/>
  <c r="R33" i="6" s="1"/>
  <c r="R395" i="6" s="1"/>
  <c r="Q32" i="6" a="1"/>
  <c r="Q32" i="6" s="1"/>
  <c r="Q33" i="6" s="1" a="1"/>
  <c r="Q33" i="6" s="1"/>
  <c r="Q395" i="6" s="1"/>
  <c r="J28" i="5"/>
  <c r="J35" i="5" s="1"/>
  <c r="K26" i="5" s="1"/>
  <c r="P48" i="5"/>
  <c r="P52" i="5" s="1"/>
  <c r="P55" i="5" s="1"/>
  <c r="P60" i="5" s="1"/>
  <c r="P68" i="5" s="1"/>
  <c r="P69" i="5" s="1"/>
  <c r="L20" i="5"/>
  <c r="L23" i="5" s="1"/>
  <c r="M19" i="5"/>
  <c r="M30" i="5" s="1"/>
  <c r="K27" i="5"/>
  <c r="N34" i="6"/>
  <c r="O17" i="5" s="1"/>
  <c r="N18" i="5"/>
  <c r="N22" i="5"/>
  <c r="T30" i="6" l="1"/>
  <c r="T31" i="6" s="1" a="1"/>
  <c r="T31" i="6" s="1"/>
  <c r="S32" i="6" a="1"/>
  <c r="S32" i="6" s="1"/>
  <c r="S33" i="6" s="1" a="1"/>
  <c r="S33" i="6" s="1"/>
  <c r="S395" i="6" s="1"/>
  <c r="K28" i="5"/>
  <c r="K35" i="5" s="1"/>
  <c r="L26" i="5" s="1"/>
  <c r="M20" i="5"/>
  <c r="M27" i="5" s="1"/>
  <c r="L27" i="5"/>
  <c r="O18" i="5"/>
  <c r="O22" i="5"/>
  <c r="O34" i="6"/>
  <c r="P17" i="5" s="1"/>
  <c r="N19" i="5"/>
  <c r="N30" i="5" s="1"/>
  <c r="Q48" i="5"/>
  <c r="Q52" i="5" s="1"/>
  <c r="Q55" i="5" s="1"/>
  <c r="Q60" i="5" s="1"/>
  <c r="Q68" i="5" s="1"/>
  <c r="Q69" i="5" s="1"/>
  <c r="U30" i="6" l="1"/>
  <c r="U31" i="6" s="1" a="1"/>
  <c r="U31" i="6" s="1"/>
  <c r="T32" i="6" a="1"/>
  <c r="T32" i="6" s="1"/>
  <c r="T33" i="6" s="1" a="1"/>
  <c r="T33" i="6" s="1"/>
  <c r="T395" i="6" s="1"/>
  <c r="L28" i="5"/>
  <c r="L35" i="5" s="1"/>
  <c r="M26" i="5" s="1"/>
  <c r="P34" i="6"/>
  <c r="Q17" i="5" s="1"/>
  <c r="P22" i="5"/>
  <c r="P18" i="5"/>
  <c r="O19" i="5"/>
  <c r="O30" i="5" s="1"/>
  <c r="N20" i="5"/>
  <c r="N27" i="5" s="1"/>
  <c r="V30" i="6" l="1"/>
  <c r="V31" i="6" s="1" a="1"/>
  <c r="V31" i="6" s="1"/>
  <c r="M28" i="5"/>
  <c r="M35" i="5" s="1"/>
  <c r="N26" i="5" s="1"/>
  <c r="O20" i="5"/>
  <c r="O27" i="5" s="1"/>
  <c r="P19" i="5"/>
  <c r="P30" i="5" s="1"/>
  <c r="U32" i="6" a="1"/>
  <c r="U32" i="6" s="1"/>
  <c r="U33" i="6" s="1" a="1"/>
  <c r="U33" i="6" s="1"/>
  <c r="U395" i="6" s="1"/>
  <c r="Q34" i="6"/>
  <c r="R17" i="5" s="1"/>
  <c r="Q22" i="5"/>
  <c r="Q18" i="5"/>
  <c r="W30" i="6" l="1"/>
  <c r="W31" i="6" s="1" a="1"/>
  <c r="W31" i="6" s="1"/>
  <c r="N28" i="5"/>
  <c r="N35" i="5" s="1"/>
  <c r="O26" i="5" s="1"/>
  <c r="R22" i="5"/>
  <c r="R18" i="5"/>
  <c r="V32" i="6" a="1"/>
  <c r="V32" i="6" s="1"/>
  <c r="V33" i="6" s="1" a="1"/>
  <c r="V33" i="6" s="1"/>
  <c r="V395" i="6" s="1"/>
  <c r="Q19" i="5"/>
  <c r="Q30" i="5" s="1"/>
  <c r="P20" i="5"/>
  <c r="P27" i="5" s="1"/>
  <c r="R34" i="6"/>
  <c r="S17" i="5" s="1"/>
  <c r="X30" i="6" l="1"/>
  <c r="X31" i="6" s="1" a="1"/>
  <c r="X31" i="6" s="1"/>
  <c r="W32" i="6" a="1"/>
  <c r="W32" i="6" s="1"/>
  <c r="W33" i="6" s="1" a="1"/>
  <c r="W33" i="6" s="1"/>
  <c r="W395" i="6" s="1"/>
  <c r="O28" i="5"/>
  <c r="O35" i="5" s="1"/>
  <c r="P26" i="5" s="1"/>
  <c r="S22" i="5"/>
  <c r="S18" i="5"/>
  <c r="S34" i="6"/>
  <c r="T17" i="5" s="1"/>
  <c r="R19" i="5"/>
  <c r="R30" i="5" s="1"/>
  <c r="Q20" i="5"/>
  <c r="Q27" i="5" s="1"/>
  <c r="Y30" i="6" l="1"/>
  <c r="Y31" i="6" s="1" a="1"/>
  <c r="Y31" i="6" s="1"/>
  <c r="X32" i="6" a="1"/>
  <c r="X32" i="6" s="1"/>
  <c r="X33" i="6" s="1" a="1"/>
  <c r="X33" i="6" s="1"/>
  <c r="X395" i="6" s="1"/>
  <c r="P28" i="5"/>
  <c r="P35" i="5" s="1"/>
  <c r="Q26" i="5" s="1"/>
  <c r="R20" i="5"/>
  <c r="R27" i="5" s="1"/>
  <c r="T22" i="5"/>
  <c r="T18" i="5"/>
  <c r="S19" i="5"/>
  <c r="S30" i="5" s="1"/>
  <c r="T34" i="6"/>
  <c r="U17" i="5" s="1"/>
  <c r="Z30" i="6" l="1"/>
  <c r="Z31" i="6" s="1" a="1"/>
  <c r="Z31" i="6" s="1"/>
  <c r="Y32" i="6" a="1"/>
  <c r="Y32" i="6" s="1"/>
  <c r="Y33" i="6" s="1" a="1"/>
  <c r="Y33" i="6" s="1"/>
  <c r="Y395" i="6" s="1"/>
  <c r="Q28" i="5"/>
  <c r="Q35" i="5" s="1"/>
  <c r="R26" i="5" s="1"/>
  <c r="R28" i="5" s="1"/>
  <c r="S20" i="5"/>
  <c r="S27" i="5" s="1"/>
  <c r="U22" i="5"/>
  <c r="U18" i="5"/>
  <c r="U34" i="6"/>
  <c r="V17" i="5" s="1"/>
  <c r="T19" i="5"/>
  <c r="T30" i="5" s="1"/>
  <c r="AA30" i="6" l="1"/>
  <c r="AA31" i="6" s="1" a="1"/>
  <c r="AA31" i="6" s="1"/>
  <c r="R35" i="5"/>
  <c r="S26" i="5" s="1"/>
  <c r="S28" i="5" s="1"/>
  <c r="T20" i="5"/>
  <c r="T27" i="5" s="1"/>
  <c r="V22" i="5"/>
  <c r="V18" i="5"/>
  <c r="U19" i="5"/>
  <c r="U30" i="5" s="1"/>
  <c r="Z32" i="6" a="1"/>
  <c r="Z32" i="6" s="1"/>
  <c r="Z33" i="6" s="1" a="1"/>
  <c r="Z33" i="6" s="1"/>
  <c r="Z395" i="6" s="1"/>
  <c r="V34" i="6"/>
  <c r="W17" i="5" s="1"/>
  <c r="W34" i="6"/>
  <c r="X17" i="5" s="1"/>
  <c r="AB30" i="6" l="1"/>
  <c r="AB31" i="6" s="1" a="1"/>
  <c r="AB31" i="6" s="1"/>
  <c r="AA32" i="6" a="1"/>
  <c r="AA32" i="6" s="1"/>
  <c r="AA33" i="6" s="1" a="1"/>
  <c r="AA33" i="6" s="1"/>
  <c r="AA395" i="6" s="1"/>
  <c r="S35" i="5"/>
  <c r="T26" i="5" s="1"/>
  <c r="W18" i="5"/>
  <c r="W22" i="5"/>
  <c r="U20" i="5"/>
  <c r="U27" i="5" s="1"/>
  <c r="X22" i="5"/>
  <c r="X18" i="5"/>
  <c r="V19" i="5"/>
  <c r="V30" i="5" s="1"/>
  <c r="AC30" i="6" l="1"/>
  <c r="AC31" i="6" s="1" a="1"/>
  <c r="AC31" i="6" s="1"/>
  <c r="T28" i="5"/>
  <c r="T35" i="5" s="1"/>
  <c r="U26" i="5" s="1"/>
  <c r="W19" i="5"/>
  <c r="W30" i="5" s="1"/>
  <c r="X34" i="6"/>
  <c r="Y17" i="5" s="1"/>
  <c r="AB32" i="6" a="1"/>
  <c r="AB32" i="6" s="1"/>
  <c r="AB33" i="6" s="1" a="1"/>
  <c r="AB33" i="6" s="1"/>
  <c r="AB395" i="6" s="1"/>
  <c r="V20" i="5"/>
  <c r="V27" i="5" s="1"/>
  <c r="X19" i="5"/>
  <c r="X30" i="5" s="1"/>
  <c r="AD30" i="6" l="1"/>
  <c r="AD31" i="6" s="1" a="1"/>
  <c r="AD31" i="6" s="1"/>
  <c r="U28" i="5"/>
  <c r="U35" i="5" s="1"/>
  <c r="V26" i="5" s="1"/>
  <c r="W20" i="5"/>
  <c r="W27" i="5" s="1"/>
  <c r="AC32" i="6" a="1"/>
  <c r="AC32" i="6" s="1"/>
  <c r="AC33" i="6" s="1" a="1"/>
  <c r="AC33" i="6" s="1"/>
  <c r="AC395" i="6" s="1"/>
  <c r="Y34" i="6"/>
  <c r="Z17" i="5" s="1"/>
  <c r="Z34" i="6"/>
  <c r="AA17" i="5" s="1"/>
  <c r="X20" i="5"/>
  <c r="X27" i="5" s="1"/>
  <c r="Y22" i="5"/>
  <c r="Y18" i="5"/>
  <c r="AE30" i="6" l="1"/>
  <c r="AD32" i="6" a="1"/>
  <c r="AD32" i="6" s="1"/>
  <c r="AD33" i="6" s="1" a="1"/>
  <c r="AD33" i="6" s="1"/>
  <c r="AD395" i="6" s="1"/>
  <c r="V28" i="5"/>
  <c r="V35" i="5" s="1"/>
  <c r="W26" i="5" s="1"/>
  <c r="AA22" i="5"/>
  <c r="AA18" i="5"/>
  <c r="Z22" i="5"/>
  <c r="Z18" i="5"/>
  <c r="Y19" i="5"/>
  <c r="Y30" i="5" s="1"/>
  <c r="AE31" i="6" l="1" a="1"/>
  <c r="AE31" i="6" s="1"/>
  <c r="AF30" i="6" s="1"/>
  <c r="AF31" i="6" s="1" a="1"/>
  <c r="AF31" i="6" s="1"/>
  <c r="AG30" i="6" s="1"/>
  <c r="AG31" i="6" s="1" a="1"/>
  <c r="AG31" i="6" s="1"/>
  <c r="W28" i="5"/>
  <c r="W35" i="5" s="1"/>
  <c r="X26" i="5" s="1"/>
  <c r="Z19" i="5"/>
  <c r="Z30" i="5" s="1"/>
  <c r="AA34" i="6"/>
  <c r="AB17" i="5" s="1"/>
  <c r="AA19" i="5"/>
  <c r="AA30" i="5" s="1"/>
  <c r="Y20" i="5"/>
  <c r="Y27" i="5" s="1"/>
  <c r="AE32" i="6" l="1" a="1"/>
  <c r="AE32" i="6" s="1"/>
  <c r="AE33" i="6" s="1" a="1"/>
  <c r="AE33" i="6" s="1"/>
  <c r="AE395" i="6" s="1"/>
  <c r="AF32" i="6" a="1"/>
  <c r="AF32" i="6" s="1"/>
  <c r="AF33" i="6" s="1" a="1"/>
  <c r="AF33" i="6" s="1"/>
  <c r="AF34" i="6" s="1"/>
  <c r="AH30" i="6"/>
  <c r="AH31" i="6" s="1" a="1"/>
  <c r="AH31" i="6" s="1"/>
  <c r="X28" i="5"/>
  <c r="X35" i="5" s="1"/>
  <c r="Y26" i="5" s="1"/>
  <c r="Z20" i="5"/>
  <c r="Z27" i="5" s="1"/>
  <c r="AB22" i="5"/>
  <c r="AB18" i="5"/>
  <c r="AA20" i="5"/>
  <c r="AA27" i="5" s="1"/>
  <c r="AB34" i="6"/>
  <c r="AC17" i="5" s="1"/>
  <c r="AG32" i="6" l="1" a="1"/>
  <c r="AG32" i="6" s="1"/>
  <c r="AG33" i="6" s="1" a="1"/>
  <c r="AG33" i="6" s="1"/>
  <c r="AG34" i="6" s="1"/>
  <c r="AI30" i="6"/>
  <c r="AI31" i="6" s="1" a="1"/>
  <c r="AI31" i="6" s="1"/>
  <c r="Y28" i="5"/>
  <c r="Y35" i="5" s="1"/>
  <c r="Z26" i="5" s="1"/>
  <c r="AB19" i="5"/>
  <c r="AB30" i="5" s="1"/>
  <c r="AC22" i="5"/>
  <c r="AC18" i="5"/>
  <c r="AC34" i="6"/>
  <c r="AD17" i="5" s="1"/>
  <c r="AD34" i="6"/>
  <c r="AE17" i="5" s="1"/>
  <c r="AH32" i="6" l="1" a="1"/>
  <c r="AH32" i="6" s="1"/>
  <c r="AH33" i="6" s="1" a="1"/>
  <c r="AH33" i="6" s="1"/>
  <c r="AH34" i="6" s="1"/>
  <c r="AJ30" i="6"/>
  <c r="AJ31" i="6" s="1" a="1"/>
  <c r="AJ31" i="6" s="1"/>
  <c r="Z28" i="5"/>
  <c r="Z35" i="5" s="1"/>
  <c r="AA26" i="5" s="1"/>
  <c r="AB20" i="5"/>
  <c r="AB27" i="5" s="1"/>
  <c r="AD18" i="5"/>
  <c r="AD22" i="5"/>
  <c r="AE18" i="5"/>
  <c r="AE22" i="5"/>
  <c r="AC19" i="5"/>
  <c r="AC30" i="5" s="1"/>
  <c r="AE34" i="6"/>
  <c r="AF17" i="5" s="1"/>
  <c r="AI32" i="6" l="1" a="1"/>
  <c r="AI32" i="6" s="1"/>
  <c r="AI33" i="6" s="1" a="1"/>
  <c r="AI33" i="6" s="1"/>
  <c r="AI34" i="6" s="1"/>
  <c r="AK30" i="6"/>
  <c r="AK31" i="6" s="1" a="1"/>
  <c r="AK31" i="6" s="1"/>
  <c r="AA28" i="5"/>
  <c r="AA35" i="5" s="1"/>
  <c r="AB26" i="5" s="1"/>
  <c r="AF22" i="5"/>
  <c r="H61" i="1" s="1"/>
  <c r="AF18" i="5"/>
  <c r="AC20" i="5"/>
  <c r="AC27" i="5" s="1"/>
  <c r="AE19" i="5"/>
  <c r="AE30" i="5" s="1"/>
  <c r="AD19" i="5"/>
  <c r="AD30" i="5" s="1"/>
  <c r="AJ32" i="6" l="1" a="1"/>
  <c r="AJ32" i="6" s="1"/>
  <c r="AJ33" i="6" s="1" a="1"/>
  <c r="AJ33" i="6" s="1"/>
  <c r="AJ34" i="6" s="1"/>
  <c r="AL30" i="6"/>
  <c r="AL31" i="6" s="1" a="1"/>
  <c r="AL31" i="6" s="1"/>
  <c r="AB28" i="5"/>
  <c r="AB35" i="5" s="1"/>
  <c r="AC26" i="5" s="1"/>
  <c r="AD20" i="5"/>
  <c r="AD27" i="5" s="1"/>
  <c r="AE20" i="5"/>
  <c r="AE27" i="5" s="1"/>
  <c r="AF19" i="5"/>
  <c r="AF30" i="5" s="1"/>
  <c r="AK32" i="6" l="1" a="1"/>
  <c r="AK32" i="6" s="1"/>
  <c r="AK33" i="6" s="1" a="1"/>
  <c r="AK33" i="6" s="1"/>
  <c r="AK34" i="6" s="1"/>
  <c r="AM30" i="6"/>
  <c r="AM31" i="6" s="1" a="1"/>
  <c r="AM31" i="6" s="1"/>
  <c r="AL32" i="6" a="1"/>
  <c r="AL32" i="6" s="1"/>
  <c r="AL33" i="6" s="1" a="1"/>
  <c r="AL33" i="6" s="1"/>
  <c r="AL34" i="6" s="1"/>
  <c r="AC28" i="5"/>
  <c r="AC35" i="5" s="1"/>
  <c r="AD26" i="5" s="1"/>
  <c r="AF20" i="5"/>
  <c r="AF27" i="5" s="1"/>
  <c r="AN30" i="6" l="1"/>
  <c r="AN31" i="6" s="1" a="1"/>
  <c r="AN31" i="6" s="1"/>
  <c r="AD28" i="5"/>
  <c r="AD35" i="5" s="1"/>
  <c r="AE26" i="5" s="1"/>
  <c r="AM32" i="6" l="1" a="1"/>
  <c r="AM32" i="6" s="1"/>
  <c r="AM33" i="6" s="1" a="1"/>
  <c r="AM33" i="6" s="1"/>
  <c r="AM34" i="6" s="1"/>
  <c r="AO30" i="6"/>
  <c r="AO31" i="6" s="1" a="1"/>
  <c r="AO31" i="6" s="1"/>
  <c r="AE28" i="5"/>
  <c r="AE35" i="5" s="1"/>
  <c r="AF26" i="5" s="1"/>
  <c r="AN32" i="6" l="1" a="1"/>
  <c r="AN32" i="6" s="1"/>
  <c r="AN33" i="6" s="1" a="1"/>
  <c r="AN33" i="6" s="1"/>
  <c r="AN34" i="6" s="1"/>
  <c r="AO32" i="6" a="1"/>
  <c r="AO32" i="6" s="1"/>
  <c r="AO33" i="6" s="1" a="1"/>
  <c r="AO33" i="6" s="1"/>
  <c r="AO34" i="6" s="1"/>
  <c r="AF28" i="5"/>
  <c r="AF35" i="5" s="1"/>
  <c r="G135" i="7" l="1"/>
  <c r="H135" i="7" s="1"/>
  <c r="I135" i="7" s="1"/>
  <c r="J135" i="7" s="1"/>
  <c r="K135" i="7" s="1"/>
  <c r="L135" i="7" s="1"/>
  <c r="M135" i="7" s="1"/>
  <c r="N135" i="7" s="1"/>
  <c r="O135" i="7" s="1"/>
  <c r="P135" i="7" s="1"/>
  <c r="Q135" i="7" s="1"/>
  <c r="R135" i="7" l="1"/>
  <c r="R136" i="7"/>
  <c r="F130" i="7"/>
  <c r="F133" i="7" s="1"/>
  <c r="G130" i="7" s="1"/>
  <c r="G133" i="7" s="1"/>
  <c r="S135" i="7" l="1"/>
  <c r="S136" i="7"/>
  <c r="H130" i="7"/>
  <c r="H133" i="7" s="1"/>
  <c r="G136" i="7"/>
  <c r="T135" i="7" l="1"/>
  <c r="T136" i="7"/>
  <c r="I130" i="7"/>
  <c r="H136" i="7"/>
  <c r="U136" i="7" l="1"/>
  <c r="U135" i="7"/>
  <c r="I133" i="7"/>
  <c r="J130" i="7" s="1"/>
  <c r="I136" i="7"/>
  <c r="V136" i="7" l="1"/>
  <c r="V135" i="7"/>
  <c r="J133" i="7"/>
  <c r="K130" i="7" s="1"/>
  <c r="K133" i="7" s="1"/>
  <c r="L130" i="7" s="1"/>
  <c r="L133" i="7" s="1"/>
  <c r="M130" i="7" s="1"/>
  <c r="M133" i="7" s="1"/>
  <c r="J136" i="7"/>
  <c r="W136" i="7" l="1"/>
  <c r="W135" i="7"/>
  <c r="N130" i="7"/>
  <c r="N133" i="7" s="1"/>
  <c r="K136" i="7"/>
  <c r="X136" i="7" l="1"/>
  <c r="X135" i="7"/>
  <c r="O130" i="7"/>
  <c r="O133" i="7" s="1"/>
  <c r="L136" i="7"/>
  <c r="Y135" i="7" l="1"/>
  <c r="Y136" i="7"/>
  <c r="P130" i="7"/>
  <c r="P133" i="7" s="1"/>
  <c r="M136" i="7"/>
  <c r="Z135" i="7" l="1"/>
  <c r="Z136" i="7"/>
  <c r="Q130" i="7"/>
  <c r="Q133" i="7" s="1"/>
  <c r="N136" i="7"/>
  <c r="AA135" i="7" l="1"/>
  <c r="AA136" i="7"/>
  <c r="R130" i="7"/>
  <c r="R133" i="7" s="1"/>
  <c r="S130" i="7" s="1"/>
  <c r="O136" i="7"/>
  <c r="AB135" i="7" l="1"/>
  <c r="AB136" i="7"/>
  <c r="S133" i="7"/>
  <c r="T130" i="7" s="1"/>
  <c r="T133" i="7" s="1"/>
  <c r="U130" i="7" s="1"/>
  <c r="U133" i="7" s="1"/>
  <c r="V130" i="7" s="1"/>
  <c r="V133" i="7" s="1"/>
  <c r="W130" i="7" s="1"/>
  <c r="W133" i="7" s="1"/>
  <c r="X130" i="7" s="1"/>
  <c r="X133" i="7" s="1"/>
  <c r="Y130" i="7" s="1"/>
  <c r="Y133" i="7" s="1"/>
  <c r="Z130" i="7" s="1"/>
  <c r="Z133" i="7" s="1"/>
  <c r="AA130" i="7" s="1"/>
  <c r="AA133" i="7" s="1"/>
  <c r="AB130" i="7" s="1"/>
  <c r="AB133" i="7" s="1"/>
  <c r="AC130" i="7" s="1"/>
  <c r="AC133" i="7" s="1"/>
  <c r="AD130" i="7" s="1"/>
  <c r="AD133" i="7" s="1"/>
  <c r="AE130" i="7" s="1"/>
  <c r="AE133" i="7" s="1"/>
  <c r="AF130" i="7" s="1"/>
  <c r="AF133" i="7" s="1"/>
  <c r="AG130" i="7" s="1"/>
  <c r="AG133" i="7" s="1"/>
  <c r="P136" i="7"/>
  <c r="AC135" i="7" l="1"/>
  <c r="AC136" i="7"/>
  <c r="Q136" i="7"/>
  <c r="AD136" i="7" l="1"/>
  <c r="AD135" i="7"/>
  <c r="AE135" i="7" l="1"/>
  <c r="AE136" i="7"/>
  <c r="AF135" i="7" l="1"/>
  <c r="AF136" i="7"/>
  <c r="AG135" i="7" l="1"/>
  <c r="AG136" i="7"/>
  <c r="K93" i="18"/>
  <c r="K97" i="18"/>
  <c r="K99" i="18"/>
  <c r="K100" i="18" s="1"/>
  <c r="K101" i="18" s="1"/>
  <c r="E59" i="18"/>
  <c r="E62" i="18"/>
  <c r="Q93" i="18"/>
  <c r="Q97" i="18" s="1"/>
  <c r="Q99" i="18" s="1"/>
  <c r="Q100" i="18" s="1"/>
  <c r="Q101" i="18" s="1"/>
  <c r="E65" i="18"/>
  <c r="M93" i="18"/>
  <c r="M97" i="18" s="1"/>
  <c r="M99" i="18" s="1"/>
  <c r="M100" i="18" s="1"/>
  <c r="M101" i="18" s="1"/>
  <c r="E60" i="18"/>
  <c r="E61" i="18" l="1"/>
  <c r="S93" i="18"/>
  <c r="S97" i="18" s="1"/>
  <c r="S99" i="18" s="1"/>
  <c r="S100" i="18" s="1"/>
  <c r="S101" i="18" s="1"/>
  <c r="E63" i="18"/>
  <c r="U93" i="18"/>
  <c r="U97" i="18" s="1"/>
  <c r="U99" i="18" s="1"/>
  <c r="U100" i="18" s="1"/>
  <c r="U101" i="18" s="1"/>
  <c r="O93" i="18"/>
  <c r="O97" i="18" s="1"/>
  <c r="O99" i="18" s="1"/>
  <c r="O100" i="18" s="1"/>
  <c r="O101" i="18" s="1"/>
  <c r="I93" i="18"/>
  <c r="I97" i="18" s="1"/>
  <c r="I99" i="18" s="1"/>
  <c r="I100" i="18" s="1"/>
  <c r="I101" i="18" s="1"/>
  <c r="E58" i="18"/>
  <c r="E93" i="18" s="1"/>
  <c r="E97" i="18" s="1"/>
  <c r="G93" i="18"/>
  <c r="G97" i="18" s="1"/>
  <c r="G99" i="18" s="1"/>
  <c r="G100" i="18" s="1"/>
  <c r="G101" i="18" s="1"/>
  <c r="C253" i="6"/>
  <c r="B14" i="1" l="1" a="1"/>
  <c r="B14" i="1" s="1"/>
  <c r="E99" i="18"/>
  <c r="C257" i="6"/>
  <c r="C254" i="6"/>
  <c r="C400" i="6" s="1"/>
  <c r="C52" i="5"/>
  <c r="C55" i="5" s="1"/>
  <c r="C60" i="5" s="1"/>
  <c r="C68" i="5" s="1"/>
  <c r="C69" i="5" s="1"/>
  <c r="E100" i="18" l="1"/>
  <c r="E101" i="18" s="1"/>
  <c r="D253" i="6"/>
  <c r="D254" i="6" s="1"/>
  <c r="D400" i="6" s="1"/>
  <c r="C401" i="6"/>
  <c r="E253" i="6" l="1"/>
  <c r="E254" i="6" s="1"/>
  <c r="E400" i="6" s="1"/>
  <c r="D401" i="6"/>
  <c r="F253" i="6" l="1"/>
  <c r="F254" i="6" s="1"/>
  <c r="F400" i="6" s="1"/>
  <c r="E401" i="6"/>
  <c r="G253" i="6" l="1"/>
  <c r="G254" i="6" s="1"/>
  <c r="G400" i="6" s="1"/>
  <c r="F401" i="6"/>
  <c r="H253" i="6" l="1"/>
  <c r="H254" i="6" s="1"/>
  <c r="H400" i="6" s="1"/>
  <c r="G401" i="6"/>
  <c r="I253" i="6" l="1"/>
  <c r="I254" i="6" s="1"/>
  <c r="I400" i="6" s="1"/>
  <c r="H401" i="6"/>
  <c r="J253" i="6" l="1"/>
  <c r="J254" i="6" s="1"/>
  <c r="J400" i="6" s="1"/>
  <c r="I401" i="6"/>
  <c r="K253" i="6" l="1"/>
  <c r="K254" i="6" s="1"/>
  <c r="K400" i="6" s="1"/>
  <c r="J401" i="6"/>
  <c r="L253" i="6" l="1"/>
  <c r="L254" i="6" s="1"/>
  <c r="L400" i="6" s="1"/>
  <c r="K401" i="6"/>
  <c r="M253" i="6" l="1"/>
  <c r="M254" i="6" s="1"/>
  <c r="M400" i="6" s="1"/>
  <c r="L401" i="6"/>
  <c r="N253" i="6" l="1"/>
  <c r="N254" i="6" s="1"/>
  <c r="N400" i="6" s="1"/>
  <c r="M401" i="6"/>
  <c r="O253" i="6" l="1"/>
  <c r="O254" i="6" s="1"/>
  <c r="O400" i="6" s="1"/>
  <c r="N401" i="6"/>
  <c r="P253" i="6" l="1"/>
  <c r="P254" i="6" s="1"/>
  <c r="P400" i="6" s="1"/>
  <c r="O401" i="6"/>
  <c r="Q253" i="6" l="1"/>
  <c r="Q254" i="6" s="1"/>
  <c r="R253" i="6" s="1"/>
  <c r="R254" i="6" s="1"/>
  <c r="S253" i="6" s="1"/>
  <c r="S254" i="6" s="1"/>
  <c r="T253" i="6" s="1"/>
  <c r="T254" i="6" s="1"/>
  <c r="U253" i="6" s="1"/>
  <c r="U254" i="6" s="1"/>
  <c r="V253" i="6" s="1"/>
  <c r="V254" i="6" s="1"/>
  <c r="W253" i="6" s="1"/>
  <c r="W254" i="6" s="1"/>
  <c r="X253" i="6" s="1"/>
  <c r="X254" i="6" s="1"/>
  <c r="Y253" i="6" s="1"/>
  <c r="Y254" i="6" s="1"/>
  <c r="Z253" i="6" s="1"/>
  <c r="Z254" i="6" s="1"/>
  <c r="AA253" i="6" s="1"/>
  <c r="AA254" i="6" s="1"/>
  <c r="AB253" i="6" s="1"/>
  <c r="AB254" i="6" s="1"/>
  <c r="AC253" i="6" s="1"/>
  <c r="AC254" i="6" s="1"/>
  <c r="AD253" i="6" s="1"/>
  <c r="AD254" i="6" s="1"/>
  <c r="AE253" i="6" s="1"/>
  <c r="AE254" i="6" s="1"/>
  <c r="P40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Josh Slade</author>
    <author>Emma Slonim</author>
  </authors>
  <commentList>
    <comment ref="B13" authorId="0" shapeId="0" xr:uid="{41408FB7-13C8-4DE0-8B2A-292C22340326}">
      <text>
        <r>
          <rPr>
            <sz val="9"/>
            <color indexed="81"/>
            <rFont val="Tahoma"/>
            <family val="2"/>
          </rPr>
          <t>Select Minimum Set-Aside</t>
        </r>
      </text>
    </comment>
    <comment ref="A17" authorId="1" shapeId="0" xr:uid="{7EFD2E3D-28E1-4890-85E9-B7C4B75B8A10}">
      <text>
        <r>
          <rPr>
            <sz val="9"/>
            <color indexed="81"/>
            <rFont val="Tahoma"/>
            <family val="2"/>
          </rPr>
          <t>Input cap rate from appraisal if available</t>
        </r>
      </text>
    </comment>
    <comment ref="A18" authorId="0" shapeId="0" xr:uid="{BDE8ABB3-0EC1-4D9E-A0C0-5C9AFBEEE68C}">
      <text>
        <r>
          <rPr>
            <sz val="9"/>
            <color indexed="81"/>
            <rFont val="Tahoma"/>
            <family val="2"/>
          </rPr>
          <t>Select type of credit.</t>
        </r>
      </text>
    </comment>
    <comment ref="B22" authorId="0" shapeId="0" xr:uid="{0B6772C1-0B38-4D67-99FD-BC3ABC2DED36}">
      <text>
        <r>
          <rPr>
            <sz val="9"/>
            <color indexed="81"/>
            <rFont val="Tahoma"/>
            <family val="2"/>
          </rPr>
          <t>For Zero Percent Deferred loans, only enter the loan amount and leave the rate, amortization period and term at zero</t>
        </r>
      </text>
    </comment>
    <comment ref="D22" authorId="1" shapeId="0" xr:uid="{7F17050C-4946-4052-9639-F6E18D25350E}">
      <text>
        <r>
          <rPr>
            <sz val="9"/>
            <color indexed="81"/>
            <rFont val="Tahoma"/>
            <family val="2"/>
          </rPr>
          <t>For a loan structure that is Principal Payments Only set the interest rate to zero and input the Term and Amortization Period (this can have a balloon)</t>
        </r>
      </text>
    </comment>
    <comment ref="E22" authorId="1" shapeId="0" xr:uid="{5C31D2EE-00A4-48DA-AA61-B6CCA3B02C5E}">
      <text>
        <r>
          <rPr>
            <sz val="9"/>
            <color indexed="81"/>
            <rFont val="Tahoma"/>
            <family val="2"/>
          </rPr>
          <t>For Interest Only loans, leave the amortiziation at zero and input an interest rate and term</t>
        </r>
      </text>
    </comment>
    <comment ref="F22" authorId="0" shapeId="0" xr:uid="{EDE47BD6-CBBC-4062-881B-42722B8B2327}">
      <text>
        <r>
          <rPr>
            <sz val="9"/>
            <color indexed="81"/>
            <rFont val="Tahoma"/>
            <family val="2"/>
          </rPr>
          <t>For a balloon payment loan, enter a number lower than the amortization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Joe Erdelyi</author>
  </authors>
  <commentList>
    <comment ref="F3" authorId="0" shapeId="0" xr:uid="{00000000-0006-0000-0200-000001000000}">
      <text>
        <r>
          <rPr>
            <sz val="10"/>
            <color indexed="81"/>
            <rFont val="Tahoma"/>
            <family val="2"/>
          </rPr>
          <t>This is calculated on the residential portion only, of the building's costs.</t>
        </r>
      </text>
    </comment>
    <comment ref="G3" authorId="0" shapeId="0" xr:uid="{00000000-0006-0000-0200-000002000000}">
      <text>
        <r>
          <rPr>
            <sz val="10"/>
            <color indexed="81"/>
            <rFont val="Tahoma"/>
            <family val="2"/>
          </rPr>
          <t>This is TDC per square footage for entire building, not residential-only per square foot cost if building is mixed 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Josh Slade</author>
    <author>Emma Slonim</author>
    <author>Olivia LaVecchia</author>
  </authors>
  <commentList>
    <comment ref="AB3" authorId="0" shapeId="0" xr:uid="{F90ACAA5-AFAA-4713-8F2C-F7F81968B871}">
      <text>
        <r>
          <rPr>
            <b/>
            <sz val="9"/>
            <color indexed="81"/>
            <rFont val="Tahoma"/>
            <family val="2"/>
          </rPr>
          <t>Modify column below as needed</t>
        </r>
        <r>
          <rPr>
            <sz val="9"/>
            <color indexed="81"/>
            <rFont val="Tahoma"/>
            <family val="2"/>
          </rPr>
          <t xml:space="preserve">
</t>
        </r>
      </text>
    </comment>
    <comment ref="AC3" authorId="0" shapeId="0" xr:uid="{CDEBA03B-D353-414B-9976-22DCB95D7F65}">
      <text>
        <r>
          <rPr>
            <b/>
            <sz val="9"/>
            <color indexed="81"/>
            <rFont val="Tahoma"/>
            <family val="2"/>
          </rPr>
          <t>Modify column below as needed</t>
        </r>
        <r>
          <rPr>
            <sz val="9"/>
            <color indexed="81"/>
            <rFont val="Tahoma"/>
            <family val="2"/>
          </rPr>
          <t xml:space="preserve">
</t>
        </r>
      </text>
    </comment>
    <comment ref="AD3" authorId="1" shapeId="0" xr:uid="{0CA556CE-EA1C-4B3E-944A-A675092042E5}">
      <text>
        <r>
          <rPr>
            <b/>
            <sz val="9"/>
            <color indexed="81"/>
            <rFont val="Tahoma"/>
            <family val="2"/>
          </rPr>
          <t xml:space="preserve">Modify column below as needed
</t>
        </r>
      </text>
    </comment>
    <comment ref="B99" authorId="0" shapeId="0" xr:uid="{AD551DE9-1C0C-4FA6-921C-E4D57CF7161F}">
      <text>
        <r>
          <rPr>
            <b/>
            <sz val="9"/>
            <color indexed="81"/>
            <rFont val="Tahoma"/>
            <family val="2"/>
          </rPr>
          <t>Use drop down to select appropriate adjustment type or none.</t>
        </r>
      </text>
    </comment>
    <comment ref="C99" authorId="2" shapeId="0" xr:uid="{2DEA5F55-F8AD-4969-81C3-4AE51E950601}">
      <text>
        <r>
          <rPr>
            <sz val="9"/>
            <color indexed="81"/>
            <rFont val="Tahoma"/>
            <family val="2"/>
          </rPr>
          <t>Change this cell to 100% or 130% (or other number if applicable).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Emma Slonim</author>
    <author>Olivia LaVecchia</author>
    <author>Josh Slade</author>
    <author>Joe Erdelyi</author>
  </authors>
  <commentList>
    <comment ref="A4" authorId="0" shapeId="0" xr:uid="{892C5CC1-8402-4E5F-B702-C9B86EF1C9B7}">
      <text>
        <r>
          <rPr>
            <b/>
            <sz val="9"/>
            <color indexed="81"/>
            <rFont val="Tahoma"/>
            <family val="2"/>
          </rPr>
          <t xml:space="preserve">For projects with multiple buildings, dropdown fills from "Building Key" in rent summary tab. Leave blank for projects with one building. 
</t>
        </r>
      </text>
    </comment>
    <comment ref="R4" authorId="1" shapeId="0" xr:uid="{F0F57326-7AE9-4610-A0C0-3884FDD3B555}">
      <text>
        <r>
          <rPr>
            <sz val="9"/>
            <color indexed="81"/>
            <rFont val="Tahoma"/>
            <family val="2"/>
          </rPr>
          <t>'Paint-to-paint' interior residential rental unit square footages.</t>
        </r>
      </text>
    </comment>
    <comment ref="V4" authorId="1" shapeId="0" xr:uid="{D57B93C3-943A-4FE5-8D1E-9F6926004A6A}">
      <text>
        <r>
          <rPr>
            <sz val="9"/>
            <color indexed="81"/>
            <rFont val="Tahoma"/>
            <family val="2"/>
          </rPr>
          <t>This area relates to the Threshold requirement to meet the minimum set-aside.</t>
        </r>
      </text>
    </comment>
    <comment ref="AD4" authorId="1" shapeId="0" xr:uid="{0D2281D3-A17C-49FC-859A-6DD30184C649}">
      <text>
        <r>
          <rPr>
            <sz val="9"/>
            <color indexed="81"/>
            <rFont val="Tahoma"/>
            <family val="2"/>
          </rPr>
          <t>=Gross rent/100% AMI rent for bedroom size in county
This area relates to the Evaluation Criteria for affordability (but is required for both 9% and 4% projects).</t>
        </r>
      </text>
    </comment>
    <comment ref="AN4" authorId="2" shapeId="0" xr:uid="{F1674F57-4104-4C25-9B45-407EFD00A4C8}">
      <text>
        <r>
          <rPr>
            <sz val="9"/>
            <color indexed="81"/>
            <rFont val="Tahoma"/>
            <family val="2"/>
          </rPr>
          <t>Will populate when Average Income Test minimum set aside is selected on Assumptions tab.</t>
        </r>
      </text>
    </comment>
    <comment ref="R101" authorId="3" shapeId="0" xr:uid="{00000000-0006-0000-0500-000002000000}">
      <text>
        <r>
          <rPr>
            <sz val="9"/>
            <color indexed="81"/>
            <rFont val="Tahoma"/>
            <family val="2"/>
          </rPr>
          <t>'Paint-to-paint' interior residential rental unit square footages; this is used for LIHTC Applicable Fraction along with "Housing Credit Sq. Footage."</t>
        </r>
      </text>
    </comment>
    <comment ref="AN101" authorId="2" shapeId="0" xr:uid="{C057EB89-23D3-4C30-81B4-664A6761EAFC}">
      <text>
        <r>
          <rPr>
            <sz val="9"/>
            <color indexed="81"/>
            <rFont val="Tahoma"/>
            <family val="2"/>
          </rPr>
          <t xml:space="preserve">All HC units must be designated an AMI limit in order to calculate AIT
</t>
        </r>
      </text>
    </comment>
    <comment ref="R102" authorId="1" shapeId="0" xr:uid="{1B6C62ED-6215-445B-89E5-6D7DAEB52ED9}">
      <text>
        <r>
          <rPr>
            <sz val="9"/>
            <color indexed="81"/>
            <rFont val="Tahoma"/>
            <family val="2"/>
          </rPr>
          <t>"Gross residential sq. footage from plans, exterior wall to exterior wall" MINUS "'paint-to-paint' interior residential rental unit sq.footages"; calculation does not include unoccupied basement, unconditioned, or commercial space.
Don't forget to include manager's unit in this calculation.</t>
        </r>
      </text>
    </comment>
    <comment ref="R103" authorId="3" shapeId="0" xr:uid="{00000000-0006-0000-0500-000003000000}">
      <text>
        <r>
          <rPr>
            <sz val="9"/>
            <color indexed="81"/>
            <rFont val="Tahoma"/>
            <family val="2"/>
          </rPr>
          <t>Gross residential square footage from plans, exterior wall to exterior wall; this cell is the sum of the two cells above.</t>
        </r>
      </text>
    </comment>
    <comment ref="R104" authorId="1" shapeId="0" xr:uid="{037EED9A-28B0-479E-809A-79CE1DC8A85E}">
      <text>
        <r>
          <rPr>
            <sz val="9"/>
            <color indexed="81"/>
            <rFont val="Tahoma"/>
            <family val="2"/>
          </rPr>
          <t>Any non-residential conditioned space.</t>
        </r>
      </text>
    </comment>
    <comment ref="R105" authorId="1" shapeId="0" xr:uid="{0295F210-AC97-4F56-A8F0-3765E73A7EA2}">
      <text>
        <r>
          <rPr>
            <sz val="9"/>
            <color indexed="81"/>
            <rFont val="Tahoma"/>
            <family val="2"/>
          </rPr>
          <t>All conditioned space in building; this cell is the sum of the two cells above and is used for the psf calculation in "sources-uses" tab.</t>
        </r>
      </text>
    </comment>
    <comment ref="R108" authorId="1" shapeId="0" xr:uid="{BFE60012-0F9E-46FA-800D-D92757F097F9}">
      <text>
        <r>
          <rPr>
            <sz val="9"/>
            <color indexed="81"/>
            <rFont val="Tahoma"/>
            <family val="2"/>
          </rPr>
          <t>All building gross sq. footage (residential, commercial, unconditioned, and covered parking).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Joe Erdelyi</author>
  </authors>
  <commentList>
    <comment ref="C36" authorId="0" shapeId="0" xr:uid="{00000000-0006-0000-0400-000002000000}">
      <text>
        <r>
          <rPr>
            <sz val="9"/>
            <color indexed="81"/>
            <rFont val="Tahoma"/>
            <family val="2"/>
          </rPr>
          <t>If any income from resident manager unit, include here and identify.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Josh Slade</author>
  </authors>
  <commentList>
    <comment ref="B70" authorId="0" shapeId="0" xr:uid="{A582B0AB-560D-48CD-9443-6F2F4923D9F8}">
      <text>
        <r>
          <rPr>
            <b/>
            <sz val="9"/>
            <color indexed="81"/>
            <rFont val="Tahoma"/>
            <family val="2"/>
          </rPr>
          <t>Defaults to B26 on Amortizations tab. Amend if necessary.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joee</author>
    <author>Josh Slade</author>
  </authors>
  <commentList>
    <comment ref="A54" authorId="0" shapeId="0" xr:uid="{00000000-0006-0000-0700-000001000000}">
      <text>
        <r>
          <rPr>
            <sz val="8"/>
            <color indexed="81"/>
            <rFont val="Tahoma"/>
            <family val="2"/>
          </rPr>
          <t xml:space="preserve">
although projects have some cash flow, it is rarely syndicated</t>
        </r>
      </text>
    </comment>
    <comment ref="A56" authorId="1" shapeId="0" xr:uid="{BAB3EAC7-FF94-4B02-A0FB-A2958FFD807E}">
      <text>
        <r>
          <rPr>
            <b/>
            <sz val="9"/>
            <color indexed="81"/>
            <rFont val="Tahoma"/>
            <family val="2"/>
          </rPr>
          <t>Five year credit</t>
        </r>
      </text>
    </comment>
    <comment ref="A57" authorId="1" shapeId="0" xr:uid="{D2C039B0-B52C-409A-A1A9-B45DEC733088}">
      <text>
        <r>
          <rPr>
            <b/>
            <sz val="9"/>
            <color indexed="81"/>
            <rFont val="Tahoma"/>
            <family val="2"/>
          </rPr>
          <t>These are currently only one year credits</t>
        </r>
      </text>
    </comment>
    <comment ref="A58" authorId="1" shapeId="0" xr:uid="{8483F5EF-ECE7-4F89-9586-D67E2567988E}">
      <text>
        <r>
          <rPr>
            <b/>
            <sz val="9"/>
            <color indexed="81"/>
            <rFont val="Tahoma"/>
            <family val="2"/>
          </rPr>
          <t>5 year credit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Emma Slonim</author>
  </authors>
  <commentList>
    <comment ref="A399" authorId="0" shapeId="0" xr:uid="{12C09E4D-FBFE-4F2F-9A17-277E9B27B12F}">
      <text>
        <r>
          <rPr>
            <sz val="9"/>
            <color indexed="81"/>
            <rFont val="Tahoma"/>
            <family val="2"/>
          </rPr>
          <t>Calculates from NOI and default cap rate of 7.5%, or actual cap rate if provided in</t>
        </r>
        <r>
          <rPr>
            <b/>
            <sz val="9"/>
            <color indexed="81"/>
            <rFont val="Tahoma"/>
            <family val="2"/>
          </rPr>
          <t xml:space="preserve"> </t>
        </r>
        <r>
          <rPr>
            <sz val="9"/>
            <color indexed="81"/>
            <rFont val="Tahoma"/>
            <family val="2"/>
          </rPr>
          <t>assumptions B17</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Olivia LaVecchia</author>
  </authors>
  <commentList>
    <comment ref="C138" authorId="0" shapeId="0" xr:uid="{3904B450-BA30-49F2-9EE0-3972E91D3684}">
      <text>
        <r>
          <rPr>
            <sz val="9"/>
            <color indexed="81"/>
            <rFont val="Tahoma"/>
            <family val="2"/>
          </rPr>
          <t>If a 4% project, please enter aggregate basis for 50% test in cell D32.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<sst xmlns="http://schemas.openxmlformats.org/spreadsheetml/2006/main" count="1046" uniqueCount="570">
  <si>
    <t>overall:</t>
  </si>
  <si>
    <t xml:space="preserve">Cells highlighted in green need to be entered. The proforma is locked, except for the green cells. Most tabs have +/- at the top and sides of the Excel to expand for more source options or additional buildings. If you need a change to the proforma, please contact the VHFA development department (developmentdept@vhfa.org) with your request. </t>
  </si>
  <si>
    <t>assumptions:</t>
  </si>
  <si>
    <t>For loans that do not traditionally amortize, there are four notes on the assumptions tab that will help you create different loan structures for the VHIF loan (zero percent deferred, principal only, interest only, balloon). This row can also be used for other secondary loans.</t>
  </si>
  <si>
    <t xml:space="preserve">If you need to add additional sources, make sure you use the + on the left side of the Excel to modify as needed. </t>
  </si>
  <si>
    <t>project budget:</t>
  </si>
  <si>
    <t>Please enter the costs by building. To add more than 3 buildings, press the + at the top right to expand for up to 10 buildings. If there are more than 10 buildings in the project, please contact the VHFA development department.</t>
  </si>
  <si>
    <t>sources-uses:</t>
  </si>
  <si>
    <t>The allocation of sources to uses on the right side of the Excel is important in the basis calculation, so please do not leave this section blank.  Rows 89-95 are related to the allowed developer fee for the project. Please ensure you have selected the correct items by consulting the Vermont Qualified Allocation Plan.</t>
  </si>
  <si>
    <t>credit calcs:</t>
  </si>
  <si>
    <t xml:space="preserve">
Make sure depreciable items are captured at the bottom of the sheet in the appropriate depreciation schedule.  </t>
  </si>
  <si>
    <t>rents:</t>
  </si>
  <si>
    <t>Column AK tallies the housing credit unit square footage. Please use accurate numbers that match the project plans, as this will be reviewed by VHFA's Building Design Analyst. Tenant-paid utilities are included here only as a reference to show the total tenant payment (they are not part of the project's income).</t>
  </si>
  <si>
    <t>cashflows:</t>
  </si>
  <si>
    <t xml:space="preserve">Please enter a replacement reserve usage over time based on a capital needs assessment (or your best estimate for new construction), as this will be reviewed by VHFA's Building Design Analyst.  Ensure that you enter the Repayment of Deferred Development Fee if the project has one. </t>
  </si>
  <si>
    <t xml:space="preserve">The beginning balance of cumulative cashflow (cell c26) includes Other Operating Reserves and Sinking Fund (Working Capital and Deficit Escrow assumed to be used up during rent up period).  Any financed accounts that are not used up are assumed to remain with the project. </t>
  </si>
  <si>
    <t>flow of funds</t>
  </si>
  <si>
    <t>To add additional months to the project timeline, you can press the + at the top right of the Excel. Please ensure that the flow of funds accurately reflects the equity pay-ins as described in the limited partnership agreement.</t>
  </si>
  <si>
    <t>Project Name:</t>
  </si>
  <si>
    <t>enter project name</t>
  </si>
  <si>
    <t>rev 12/2025</t>
  </si>
  <si>
    <t>Date Revised:</t>
  </si>
  <si>
    <t>enter date</t>
  </si>
  <si>
    <t>Total Buildings:</t>
  </si>
  <si>
    <t>If other, enter rate:</t>
  </si>
  <si>
    <t>Total Residential Units:</t>
  </si>
  <si>
    <t>Annual Increase in Income from Rental Units:</t>
  </si>
  <si>
    <t>Housing Credit Restricted Units:</t>
  </si>
  <si>
    <t>Annual Increase in Income from Other Sources:</t>
  </si>
  <si>
    <t>Percent Restricted:</t>
  </si>
  <si>
    <t>Annual Increase in Income from Commercial:</t>
  </si>
  <si>
    <t>Housing with Services Units:</t>
  </si>
  <si>
    <t>Total Development Cost:</t>
  </si>
  <si>
    <t>Annual Expense increase:</t>
  </si>
  <si>
    <t>Residential Development Cost per Unit:</t>
  </si>
  <si>
    <t>Vacancy Rate:</t>
  </si>
  <si>
    <t>Housing Credit Investment per Unit</t>
  </si>
  <si>
    <t>Partner's Tax Rate:</t>
  </si>
  <si>
    <t>Housing Credit Investment per HC Unit</t>
  </si>
  <si>
    <t>Long Depreciation Schedule:</t>
  </si>
  <si>
    <t>years</t>
  </si>
  <si>
    <t>Total Development Cost Per SF:</t>
  </si>
  <si>
    <t>Mid Depreciation Schedule:</t>
  </si>
  <si>
    <t>Credit Election:</t>
  </si>
  <si>
    <t>Average Income Test</t>
  </si>
  <si>
    <t>Short Depreciation Schedule:</t>
  </si>
  <si>
    <t>Max Credit Potential:</t>
  </si>
  <si>
    <t>Sponsor's Estimated Yield:</t>
  </si>
  <si>
    <t>Credit Amount Requested/Awarded:</t>
  </si>
  <si>
    <t>Application Estimated Cap Rate (default):</t>
  </si>
  <si>
    <t>Actual Project Cap Rate:</t>
  </si>
  <si>
    <t>LIHTC - None</t>
  </si>
  <si>
    <t xml:space="preserve">Please do not delete rows in the "Sources" section. You may use the "Additional Fields" rows in 22-25 (amortizing debt), 35-44 (non-amortizing debt), and 51-55 (other sources).
</t>
  </si>
  <si>
    <t>% of Total Development Cost</t>
  </si>
  <si>
    <t>Interest Rate</t>
  </si>
  <si>
    <t>Amortization (Years)</t>
  </si>
  <si>
    <t>Term (Years)</t>
  </si>
  <si>
    <t>Committed?</t>
  </si>
  <si>
    <t>Commitment Date/Expected Date</t>
  </si>
  <si>
    <t>Other Permanent Debt</t>
  </si>
  <si>
    <t>Housing Investments for Vermont (HIVE)</t>
  </si>
  <si>
    <r>
      <t xml:space="preserve">[Additional Field - Specify] </t>
    </r>
    <r>
      <rPr>
        <i/>
        <sz val="12"/>
        <color rgb="FF0070C0"/>
        <rFont val="Arial"/>
        <family val="2"/>
      </rPr>
      <t>(Amortizing)</t>
    </r>
  </si>
  <si>
    <t>AHP</t>
  </si>
  <si>
    <t>HOME</t>
  </si>
  <si>
    <t>NHTF</t>
  </si>
  <si>
    <t>deferred</t>
  </si>
  <si>
    <t>VCDP</t>
  </si>
  <si>
    <t>VHCB</t>
  </si>
  <si>
    <t>VHCB Feasibility</t>
  </si>
  <si>
    <t>Energy Incentives</t>
  </si>
  <si>
    <t>Deferred Developer Fee</t>
  </si>
  <si>
    <r>
      <t xml:space="preserve">[Additional Field - Specify] </t>
    </r>
    <r>
      <rPr>
        <i/>
        <sz val="12"/>
        <color rgb="FF0070C0"/>
        <rFont val="Arial"/>
        <family val="2"/>
      </rPr>
      <t>(Non-Amortizing)</t>
    </r>
  </si>
  <si>
    <t>General Partner Equity</t>
  </si>
  <si>
    <t>Existing Cash Accounts</t>
  </si>
  <si>
    <t>Investment Tax Credit</t>
  </si>
  <si>
    <t>Historic Credit Equity</t>
  </si>
  <si>
    <t>VHFA - Federal Tax Credit Equity</t>
  </si>
  <si>
    <t>VHFA - VT State Tax Credit Equity</t>
  </si>
  <si>
    <t>[Additional Field - Specify]</t>
  </si>
  <si>
    <t>TOTAL SOURCES</t>
  </si>
  <si>
    <t>USES</t>
  </si>
  <si>
    <t>Acquisition</t>
  </si>
  <si>
    <t>Year 1 Exp Coverage Ratio:</t>
  </si>
  <si>
    <t>Construction Hard Costs</t>
  </si>
  <si>
    <t>Year 1 DCR:</t>
  </si>
  <si>
    <t>Soft Costs</t>
  </si>
  <si>
    <t>First Year Negative DCR:</t>
  </si>
  <si>
    <t>TOTAL USES</t>
  </si>
  <si>
    <t>Gap</t>
  </si>
  <si>
    <t>Adjust dropdowns below as needed</t>
  </si>
  <si>
    <t>VHFA Tax Exempt Construction Debt</t>
  </si>
  <si>
    <t>months</t>
  </si>
  <si>
    <t>Other Equity Bridge Loan</t>
  </si>
  <si>
    <t>General Partner's Capital Contribution</t>
  </si>
  <si>
    <t>Limited Partner's Capital Contribution</t>
  </si>
  <si>
    <t>Total Equity</t>
  </si>
  <si>
    <t>APPLICABLE FRACTION CALCULATION</t>
  </si>
  <si>
    <t>Housing Credit Restricted Units</t>
  </si>
  <si>
    <t>Total Residential Units</t>
  </si>
  <si>
    <t>Unit Fraction</t>
  </si>
  <si>
    <t>Housing Credit Square Footage</t>
  </si>
  <si>
    <t>Square Footage Fraction</t>
  </si>
  <si>
    <t>Applicable Fraction</t>
  </si>
  <si>
    <t>Press '+' for additional buildings</t>
  </si>
  <si>
    <t>Press '+' for additional fields. Please do not add rows.</t>
  </si>
  <si>
    <t>Project</t>
  </si>
  <si>
    <t>Building 1</t>
  </si>
  <si>
    <t>Building 2</t>
  </si>
  <si>
    <t>Building 3</t>
  </si>
  <si>
    <t>Building 4</t>
  </si>
  <si>
    <t>Building 5</t>
  </si>
  <si>
    <t>Building 6</t>
  </si>
  <si>
    <t>Building 7</t>
  </si>
  <si>
    <t>Building 8</t>
  </si>
  <si>
    <t>Building 9</t>
  </si>
  <si>
    <t>Building 10</t>
  </si>
  <si>
    <t>Total Budget</t>
  </si>
  <si>
    <t>ACQUISITION</t>
  </si>
  <si>
    <t>Land</t>
  </si>
  <si>
    <t>Purchase of Building</t>
  </si>
  <si>
    <t>Demolition (without replacement)</t>
  </si>
  <si>
    <t>Appraisal</t>
  </si>
  <si>
    <t>Legal - Title and Recording</t>
  </si>
  <si>
    <t>Subtotal - Acquisition</t>
  </si>
  <si>
    <t>CONSTRUCTION HARD COSTS</t>
  </si>
  <si>
    <t>Construction - Residential</t>
  </si>
  <si>
    <t>Construction - Commercial</t>
  </si>
  <si>
    <t>Site Work</t>
  </si>
  <si>
    <t>Demolition - Construction</t>
  </si>
  <si>
    <t>Commercial Fit Up</t>
  </si>
  <si>
    <t>Contractor Overhead</t>
  </si>
  <si>
    <t>Contractor Profit</t>
  </si>
  <si>
    <t>Contractor General Requirements</t>
  </si>
  <si>
    <t>Construction Contingency</t>
  </si>
  <si>
    <t>Construction Bond Fee</t>
  </si>
  <si>
    <t>Hazardous Materials Abatement</t>
  </si>
  <si>
    <t>Off-Site Improvements</t>
  </si>
  <si>
    <t>Furnishings, Fixtures, &amp; Equipment</t>
  </si>
  <si>
    <t>Subtotal - Hard Costs</t>
  </si>
  <si>
    <t>Subtotal - Acquisition and Hard Costs</t>
  </si>
  <si>
    <t>SOFT COSTS</t>
  </si>
  <si>
    <t>Architectural</t>
  </si>
  <si>
    <t>Engineering</t>
  </si>
  <si>
    <t>Legal/Accounting</t>
  </si>
  <si>
    <t>Relocation</t>
  </si>
  <si>
    <t>Construction Inspections</t>
  </si>
  <si>
    <t>Environmental Assessment</t>
  </si>
  <si>
    <t>Energy Assessment</t>
  </si>
  <si>
    <t>Permits/Fees</t>
  </si>
  <si>
    <t>Market Study</t>
  </si>
  <si>
    <t>Cost Certification</t>
  </si>
  <si>
    <t>Capital Needs Assessment</t>
  </si>
  <si>
    <t>Construction Period Insurance</t>
  </si>
  <si>
    <t>Construction Loan Interest</t>
  </si>
  <si>
    <t>Construction Loan Origination Fee</t>
  </si>
  <si>
    <t>Taxes During Construction</t>
  </si>
  <si>
    <t>Clerk of the Works</t>
  </si>
  <si>
    <t>Marketing</t>
  </si>
  <si>
    <t>Tax Credit Fees</t>
  </si>
  <si>
    <t>Soft Cost Contingency</t>
  </si>
  <si>
    <t>Permanent Loan Origination Fee</t>
  </si>
  <si>
    <t>Lender's Counsel's Fee</t>
  </si>
  <si>
    <t>Subtotal - Soft Costs</t>
  </si>
  <si>
    <t>SYNDICATION COSTS</t>
  </si>
  <si>
    <t>Organizational (Partnership)</t>
  </si>
  <si>
    <t>Bridge Loan Fees and Expenses</t>
  </si>
  <si>
    <t>Syndication Consultant</t>
  </si>
  <si>
    <t>Tax Opinion</t>
  </si>
  <si>
    <t>Subtotal - Syndication Costs</t>
  </si>
  <si>
    <t>DEVELOPER'S FEES</t>
  </si>
  <si>
    <t>Developer's Fees</t>
  </si>
  <si>
    <t>Other Partnership Fees</t>
  </si>
  <si>
    <t>Consultant Fees</t>
  </si>
  <si>
    <t>Subtotal - Developer's Fees</t>
  </si>
  <si>
    <t>RESERVES</t>
  </si>
  <si>
    <t>Working Capital</t>
  </si>
  <si>
    <t>Rent-up (Deficit Escrow) Reserve</t>
  </si>
  <si>
    <t>Operating Reserves</t>
  </si>
  <si>
    <t>Replacement Reserves</t>
  </si>
  <si>
    <t>Subtotal - Reserves</t>
  </si>
  <si>
    <t>TOTAL DEVELOPMENT COSTS</t>
  </si>
  <si>
    <t>Allocation - by Sq Ft</t>
  </si>
  <si>
    <t>Allocation of Sources</t>
  </si>
  <si>
    <t>Press '+' for additional sources</t>
  </si>
  <si>
    <t>Residential</t>
  </si>
  <si>
    <t>Commercial</t>
  </si>
  <si>
    <t>Per Unit</t>
  </si>
  <si>
    <t>Per s.f.</t>
  </si>
  <si>
    <t>COST BASIS FOR DEVEL FEE</t>
  </si>
  <si>
    <t>DEVELOPER FEE</t>
  </si>
  <si>
    <t>New Construction Bond or Hybrid</t>
  </si>
  <si>
    <t>Reserves</t>
  </si>
  <si>
    <t>Capitalized</t>
  </si>
  <si>
    <t>Months</t>
  </si>
  <si>
    <t>Rent-Up Reserve</t>
  </si>
  <si>
    <t>Operating Reserve</t>
  </si>
  <si>
    <t>Replacement Reserve (PU &amp; PUPM)</t>
  </si>
  <si>
    <t>Project Basis</t>
  </si>
  <si>
    <t>Acquisition Basis</t>
  </si>
  <si>
    <t>Construction Basis</t>
  </si>
  <si>
    <t>Residential Depreciation</t>
  </si>
  <si>
    <t>Historic Credit Basis</t>
  </si>
  <si>
    <t>Solar ITC</t>
  </si>
  <si>
    <t>Other ITC</t>
  </si>
  <si>
    <t>[Additional Field: Describe]</t>
  </si>
  <si>
    <t>Aggregate Basis
(4% LIHTC)</t>
  </si>
  <si>
    <t>TOTALS</t>
  </si>
  <si>
    <t>LESS:</t>
  </si>
  <si>
    <t>Amount of Non-Qualified Financing</t>
  </si>
  <si>
    <t>Historic Tax Credit (Residential Portion)</t>
  </si>
  <si>
    <t>Credit Rate</t>
  </si>
  <si>
    <t>Total Eligible Basis</t>
  </si>
  <si>
    <t>Annual Credit</t>
  </si>
  <si>
    <t>TIMES:</t>
  </si>
  <si>
    <t>Adjusted for QCT or DDA</t>
  </si>
  <si>
    <t>Total Qualified Basis</t>
  </si>
  <si>
    <t>Long-Term Depreciable Basis</t>
  </si>
  <si>
    <t>Depreciation Schedule</t>
  </si>
  <si>
    <t>Applicable Percentage</t>
  </si>
  <si>
    <t>Annual Depreciation</t>
  </si>
  <si>
    <t>Total Annual Credit Qualified</t>
  </si>
  <si>
    <t>Short-Term Depreciable Basis</t>
  </si>
  <si>
    <t>Total Tax Credits Requested</t>
  </si>
  <si>
    <r>
      <t xml:space="preserve">Estimated Net Syndication Proceeds </t>
    </r>
    <r>
      <rPr>
        <i/>
        <sz val="9"/>
        <rFont val="Arial"/>
        <family val="2"/>
      </rPr>
      <t>(Sec. 42 HC only)</t>
    </r>
  </si>
  <si>
    <t xml:space="preserve">Estimated Yield - Housing Credit Syndication </t>
  </si>
  <si>
    <t>Mid-Term Depreciable Basis</t>
  </si>
  <si>
    <t>Equity Gap</t>
  </si>
  <si>
    <t>Credits Needed to Fill Equity Gap</t>
  </si>
  <si>
    <t>Check all Applicable (Please use 1 = yes and 0 = no)</t>
  </si>
  <si>
    <t>A</t>
  </si>
  <si>
    <t>B</t>
  </si>
  <si>
    <t>C</t>
  </si>
  <si>
    <t xml:space="preserve">Building Name </t>
  </si>
  <si>
    <t>Unit #</t>
  </si>
  <si>
    <t>HTF Unit</t>
  </si>
  <si>
    <t>HOME Unit</t>
  </si>
  <si>
    <t>Lead Paint Unit</t>
  </si>
  <si>
    <t>Project Based Assistance</t>
  </si>
  <si>
    <t>Tax Credit Unit</t>
  </si>
  <si>
    <t>VHCB Restricted</t>
  </si>
  <si>
    <t>Adaptable</t>
  </si>
  <si>
    <t>General Occupancy</t>
  </si>
  <si>
    <t>Age-Restricted</t>
  </si>
  <si>
    <t>Unrestricted</t>
  </si>
  <si>
    <t>Number of Bedrooms</t>
  </si>
  <si>
    <t>Proposed Square Footage</t>
  </si>
  <si>
    <t>Proposed Rent</t>
  </si>
  <si>
    <t>Utility Allowance for Tenant-Paid Utilities</t>
  </si>
  <si>
    <t>Gross Rent (Rent + Tenant-Paid Utilities)</t>
  </si>
  <si>
    <t>Income Restrictions:
(Restricted Area Median Income level of residents in Housing Subsidy Covenants)</t>
  </si>
  <si>
    <t>Actual affordability based on gross rent compared to 100% AMI rent</t>
  </si>
  <si>
    <t>Housing Credit Square Footages</t>
  </si>
  <si>
    <t>AIT</t>
  </si>
  <si>
    <t>&gt;100%</t>
  </si>
  <si>
    <t>30%</t>
  </si>
  <si>
    <t>50%</t>
  </si>
  <si>
    <t>60%</t>
  </si>
  <si>
    <t>65%</t>
  </si>
  <si>
    <t xml:space="preserve">70% </t>
  </si>
  <si>
    <t>80%</t>
  </si>
  <si>
    <t>100%+</t>
  </si>
  <si>
    <t>Mgr. Unit</t>
  </si>
  <si>
    <t>Total #
Units</t>
  </si>
  <si>
    <t>Net Residential Unit Sq. Footage</t>
  </si>
  <si>
    <t>Total # Units:</t>
  </si>
  <si>
    <t>Gross Residential Sq. Footage less Net Residential Unit Sq. Footage</t>
  </si>
  <si>
    <t>Subtotal – Total Gross Residential Sq. Footage</t>
  </si>
  <si>
    <t>Gross Commercial Space Sq. Footage, if any</t>
  </si>
  <si>
    <t>Subtotal – Total Gross Conditioned Building Sq. Footage</t>
  </si>
  <si>
    <t>Unconditioned Gross Basement, Crawl Space, and Storage Sq. Footage</t>
  </si>
  <si>
    <t>Gross Covered Parking Sq. Footage</t>
  </si>
  <si>
    <t>Total Gross Building Square Footage</t>
  </si>
  <si>
    <t>Building Key</t>
  </si>
  <si>
    <t xml:space="preserve">  HC Restricted Units</t>
  </si>
  <si>
    <t>Type</t>
  </si>
  <si>
    <t>Average</t>
  </si>
  <si>
    <t>Tenant-Paid</t>
  </si>
  <si>
    <t>Total</t>
  </si>
  <si>
    <t>Name</t>
  </si>
  <si>
    <t xml:space="preserve"> Units</t>
  </si>
  <si>
    <t>Sq. Ft.</t>
  </si>
  <si>
    <t>Bedrooms</t>
  </si>
  <si>
    <t>GO or Age-Specific</t>
  </si>
  <si>
    <t>Square Feet</t>
  </si>
  <si>
    <t>Number</t>
  </si>
  <si>
    <t>Rent</t>
  </si>
  <si>
    <t>Utilities</t>
  </si>
  <si>
    <t>Annual Rent</t>
  </si>
  <si>
    <t>4+</t>
  </si>
  <si>
    <t>Totals</t>
  </si>
  <si>
    <t xml:space="preserve">  Non-HC Restricted Units</t>
  </si>
  <si>
    <t>Manager's Unit</t>
  </si>
  <si>
    <t>Grand Total</t>
  </si>
  <si>
    <t>Less Vacancy</t>
  </si>
  <si>
    <t>NET RENT</t>
  </si>
  <si>
    <t>OTHER INCOME</t>
  </si>
  <si>
    <t>Laundry</t>
  </si>
  <si>
    <t>Interest</t>
  </si>
  <si>
    <t>Commercial Space Income</t>
  </si>
  <si>
    <t>Less Vacancy Commercial</t>
  </si>
  <si>
    <t>TOTAL INCOME</t>
  </si>
  <si>
    <t>Annual</t>
  </si>
  <si>
    <t>Monthly</t>
  </si>
  <si>
    <t>Per Month</t>
  </si>
  <si>
    <t>Per Year</t>
  </si>
  <si>
    <t>ADMINISTRATIVE</t>
  </si>
  <si>
    <t>Audit Expense</t>
  </si>
  <si>
    <t>Bookkeeping Fees/Acctg Services</t>
  </si>
  <si>
    <t>Conventions &amp; Meetings</t>
  </si>
  <si>
    <t>Legal Expense</t>
  </si>
  <si>
    <t>Management &amp; Consultants</t>
  </si>
  <si>
    <t>Management Fee</t>
  </si>
  <si>
    <t>Manager or Superintendent Salaries</t>
  </si>
  <si>
    <t>Misc. Admin Expense (incl TRACS, LIHTC Fees, Training, Telephone, etc)</t>
  </si>
  <si>
    <t>Office Expenses</t>
  </si>
  <si>
    <t>Office Salaries</t>
  </si>
  <si>
    <t>Tax Credit Monitoring Fee</t>
  </si>
  <si>
    <t>TOTAL ADMINISTRATIVE</t>
  </si>
  <si>
    <t>SUPPORTIVE SERVICE</t>
  </si>
  <si>
    <t>Supportive Services</t>
  </si>
  <si>
    <t>TOTAL SUPPORTIVE SERVICE</t>
  </si>
  <si>
    <t>UTILITIES</t>
  </si>
  <si>
    <t>Electricity</t>
  </si>
  <si>
    <t>Fuel</t>
  </si>
  <si>
    <t>Sewer</t>
  </si>
  <si>
    <t>Water</t>
  </si>
  <si>
    <t>Water &amp; Sewer Combined (if applicable)</t>
  </si>
  <si>
    <t>TOTAL UTILITIES</t>
  </si>
  <si>
    <t>MAINTENANCE</t>
  </si>
  <si>
    <t>Contracts (Grounds, Exterminating, Repairs, Elevator)</t>
  </si>
  <si>
    <t>HVAC Repairs / Maintenance</t>
  </si>
  <si>
    <t>Misc Operating &amp; Maintenance Expense (incl Fire Alarm)</t>
  </si>
  <si>
    <t>Payroll (Maintenance, Grounds, Repair)</t>
  </si>
  <si>
    <t>Snow Removal</t>
  </si>
  <si>
    <t>Supplies (Janitor, Repairs, Paint)</t>
  </si>
  <si>
    <t>Trash Removal</t>
  </si>
  <si>
    <t>Vehicle &amp; Maintenance Equip. Operation &amp; Repair</t>
  </si>
  <si>
    <t>TOTAL MAINTENANCE</t>
  </si>
  <si>
    <t>TAXES &amp; INSURANCE</t>
  </si>
  <si>
    <t>Health Insurance &amp; Other Benefits</t>
  </si>
  <si>
    <t>Misc. Taxes, Permits, Licenses, Insurance</t>
  </si>
  <si>
    <t>Payroll Taxes</t>
  </si>
  <si>
    <t>Property Insurance</t>
  </si>
  <si>
    <t>Real Estate Taxes</t>
  </si>
  <si>
    <t>Workman's Compensation</t>
  </si>
  <si>
    <t>TOTAL TAXES &amp; INSURANCE</t>
  </si>
  <si>
    <t>FINANCIAL</t>
  </si>
  <si>
    <t>Primary Debt Service</t>
  </si>
  <si>
    <t>Other "must pay" debt service</t>
  </si>
  <si>
    <t>Misc. Financial Expenses</t>
  </si>
  <si>
    <t>TOTAL FINANCIAL</t>
  </si>
  <si>
    <t xml:space="preserve"> Replacement Reserves</t>
  </si>
  <si>
    <t>per unit month</t>
  </si>
  <si>
    <t>excl. debt svc &amp; res.</t>
  </si>
  <si>
    <t xml:space="preserve">PRO FORMA    </t>
  </si>
  <si>
    <t>Year</t>
  </si>
  <si>
    <t>Operating Income</t>
  </si>
  <si>
    <t>Gross Rent</t>
  </si>
  <si>
    <t>Other Income</t>
  </si>
  <si>
    <t>Vacancy and Other Losses</t>
  </si>
  <si>
    <t>Total Operating Income</t>
  </si>
  <si>
    <t>Operating Expenses</t>
  </si>
  <si>
    <t>Total Expenses (excl. Reserves)</t>
  </si>
  <si>
    <t>Total Operating Expense</t>
  </si>
  <si>
    <t>Net Operating Income</t>
  </si>
  <si>
    <t>Less Primary Debt Service</t>
  </si>
  <si>
    <t>Less Secondary Debt Service</t>
  </si>
  <si>
    <t>Annual Cash Flow</t>
  </si>
  <si>
    <t>Operating Subsidies / Sinking Fund</t>
  </si>
  <si>
    <t>Net Cash</t>
  </si>
  <si>
    <t>Debt Coverage Ratio</t>
  </si>
  <si>
    <t>Cash flow as a percentage of expenses</t>
  </si>
  <si>
    <t>Expense coverage ratio</t>
  </si>
  <si>
    <t>Cumulative Cash Flow</t>
  </si>
  <si>
    <t>Beginning Balance</t>
  </si>
  <si>
    <t>Deposits</t>
  </si>
  <si>
    <t>Withdrawals:</t>
  </si>
  <si>
    <t>Project Operating Needs</t>
  </si>
  <si>
    <t>Special LP or GP Fee</t>
  </si>
  <si>
    <t>Repayment of Deferred Devel. Fee</t>
  </si>
  <si>
    <t>*Cannot be repaid after Year 10</t>
  </si>
  <si>
    <t>Partnership Audit or K-1 Fee</t>
  </si>
  <si>
    <t>Distribution of Cash to Owner</t>
  </si>
  <si>
    <t>Ending Balance</t>
  </si>
  <si>
    <t>Cumulative Replacement Reserves</t>
  </si>
  <si>
    <t>Withdrawals</t>
  </si>
  <si>
    <t xml:space="preserve">  Plus Reserves</t>
  </si>
  <si>
    <t>Less GP Fee</t>
  </si>
  <si>
    <t xml:space="preserve">  Less Interest Expense</t>
  </si>
  <si>
    <t xml:space="preserve">  Less Long Depreciation</t>
  </si>
  <si>
    <t xml:space="preserve">  Less Mid Depreciation</t>
  </si>
  <si>
    <t xml:space="preserve">  Less Short Depreciation</t>
  </si>
  <si>
    <t>Taxable Income (Loss)</t>
  </si>
  <si>
    <t>Cash Flow</t>
  </si>
  <si>
    <t xml:space="preserve">  Plus Tax Savings</t>
  </si>
  <si>
    <t>Plus Historic Rehab Credits</t>
  </si>
  <si>
    <t>Plus ITC Credits</t>
  </si>
  <si>
    <t>Plus State Credits</t>
  </si>
  <si>
    <t xml:space="preserve">  Plus Federal Housing Credits</t>
  </si>
  <si>
    <t>After Tax Cash Flow</t>
  </si>
  <si>
    <t>For VHFA use:</t>
  </si>
  <si>
    <t>Total Years</t>
  </si>
  <si>
    <t>Reinvestment Rate</t>
  </si>
  <si>
    <t>Current After Tax Cash Flows</t>
  </si>
  <si>
    <t>Future Value of Cash Flows at Yr 15:</t>
  </si>
  <si>
    <t>Discount Rate:</t>
  </si>
  <si>
    <t>Capital Contribution Number:</t>
  </si>
  <si>
    <t>Date of Capital Contribution:</t>
  </si>
  <si>
    <t>Amount of Capital Contribution:</t>
  </si>
  <si>
    <t>Present Value of Contributions:</t>
  </si>
  <si>
    <t>Cash Flows</t>
  </si>
  <si>
    <t>IRR:</t>
  </si>
  <si>
    <t>Equity Yield:</t>
  </si>
  <si>
    <t>PRINCIPAL</t>
  </si>
  <si>
    <t>INTEREST</t>
  </si>
  <si>
    <t>AMORTIZATION PERIOD</t>
  </si>
  <si>
    <t>TERM</t>
  </si>
  <si>
    <t>MONTHLY PAYMENT</t>
  </si>
  <si>
    <t>ANNUAL PAYMENT</t>
  </si>
  <si>
    <t>YEAR</t>
  </si>
  <si>
    <t>BEGINNING BALANCE</t>
  </si>
  <si>
    <t>ENDING BALANCE</t>
  </si>
  <si>
    <t>TOTAL PAID</t>
  </si>
  <si>
    <t>Total Interest</t>
  </si>
  <si>
    <t>DEBT/EQUITY RATIO</t>
  </si>
  <si>
    <t>PROJ. VALUE</t>
  </si>
  <si>
    <t>OUTSTANDING DEBT</t>
  </si>
  <si>
    <t>Construction Flow of Funds</t>
  </si>
  <si>
    <t>Press '+' for additional months; adjust timeline and labels as needed</t>
  </si>
  <si>
    <t>Construction Closing</t>
  </si>
  <si>
    <t>Permanent Closing</t>
  </si>
  <si>
    <t>Final Capital Contribution</t>
  </si>
  <si>
    <t>Uses:</t>
  </si>
  <si>
    <t xml:space="preserve"> Repay Construction Loan</t>
  </si>
  <si>
    <t>Sources:</t>
  </si>
  <si>
    <t>TOTALS:</t>
  </si>
  <si>
    <t>CONSTRUCTION LOAN</t>
  </si>
  <si>
    <t>Cumulative Total Starting Balance</t>
  </si>
  <si>
    <t>Monthly Balances (sources - uses)</t>
  </si>
  <si>
    <t>Construction Loan Draws (Repmt)</t>
  </si>
  <si>
    <t>Cumulative Construction Draws</t>
  </si>
  <si>
    <t>Construction Loan Balance</t>
  </si>
  <si>
    <t>Interest Calculation</t>
  </si>
  <si>
    <t>Basis:</t>
  </si>
  <si>
    <t>Equity Bridge Loan Balance</t>
  </si>
  <si>
    <t>Housing with Services: Budget and Inventory</t>
  </si>
  <si>
    <t>For more information about Housing with Services, please see VHFA's Qualified Allocation Plan and Services Plan Application Supplement on the VHFA website.</t>
  </si>
  <si>
    <t>Project Information</t>
  </si>
  <si>
    <t>Total Units in Project:</t>
  </si>
  <si>
    <t>Housing with Services Units in Project:</t>
  </si>
  <si>
    <t>Included Services:</t>
  </si>
  <si>
    <t>(check all that apply)</t>
  </si>
  <si>
    <t>% of residents receiving service</t>
  </si>
  <si>
    <t>Hours/week</t>
  </si>
  <si>
    <t>Provider</t>
  </si>
  <si>
    <t>Funding Source</t>
  </si>
  <si>
    <t>Cost</t>
  </si>
  <si>
    <t>Case Management</t>
  </si>
  <si>
    <t>Housekeeping</t>
  </si>
  <si>
    <t>Meals</t>
  </si>
  <si>
    <t>Nursing/Wellness Nurse</t>
  </si>
  <si>
    <t>Personal Care</t>
  </si>
  <si>
    <t>SASH</t>
  </si>
  <si>
    <t>Service Coordination</t>
  </si>
  <si>
    <t>Transportation</t>
  </si>
  <si>
    <t>Total:</t>
  </si>
  <si>
    <t>Income:</t>
  </si>
  <si>
    <t>Project Operating Budget</t>
  </si>
  <si>
    <t>SASH Program (Medicare &amp; State Funds)</t>
  </si>
  <si>
    <t>Owner Contribution</t>
  </si>
  <si>
    <t>Third Party Provider</t>
  </si>
  <si>
    <t>Grant</t>
  </si>
  <si>
    <t>Sinking Fund</t>
  </si>
  <si>
    <t>Other (Specify)</t>
  </si>
  <si>
    <t>Narrative:</t>
  </si>
  <si>
    <t>Complete Supportive Services section of Common Application</t>
  </si>
  <si>
    <t>Sponsor Information</t>
  </si>
  <si>
    <t>Sponsor #1</t>
  </si>
  <si>
    <t>Sponsor Name:</t>
  </si>
  <si>
    <t>Units of permanent affordable housing in portfolio:</t>
  </si>
  <si>
    <t>Units currently occupied by households who were experiencing homelessness at the time of application for the unit:</t>
  </si>
  <si>
    <t>Calculated percentage of units serving formerly homeless households</t>
  </si>
  <si>
    <t>Housing with Services units in portfolio:</t>
  </si>
  <si>
    <t>Sponsor #2</t>
  </si>
  <si>
    <t>Please also submit checklist item C5.2, an inventory of both all formerly homeless households and all Housing with Services units across the portfolios of all project Sponsors.</t>
  </si>
  <si>
    <t>Appraised Value As Complete</t>
  </si>
  <si>
    <t>Board Meeting Date:</t>
  </si>
  <si>
    <t>Sponsor:</t>
  </si>
  <si>
    <t>Total Units:</t>
  </si>
  <si>
    <t>Housing Credit Units:</t>
  </si>
  <si>
    <t>Project Address:</t>
  </si>
  <si>
    <t>Unit Sizes:</t>
  </si>
  <si>
    <t>Size</t>
  </si>
  <si>
    <t>Avg Sq Ft</t>
  </si>
  <si>
    <t>Housing Type:</t>
  </si>
  <si>
    <t>Eff</t>
  </si>
  <si>
    <t>1 Bd</t>
  </si>
  <si>
    <t>Per Sq Ft:</t>
  </si>
  <si>
    <t>2 Bd</t>
  </si>
  <si>
    <t>Per Unit:</t>
  </si>
  <si>
    <t>3+ Bd</t>
  </si>
  <si>
    <t>Total Acquisition &amp; Hard Construction Cost:</t>
  </si>
  <si>
    <t>Total Gross Conditioned Building Sq Ft:</t>
  </si>
  <si>
    <t>Residential Sq Ft:</t>
  </si>
  <si>
    <t>Housing Credit Sq Ft:</t>
  </si>
  <si>
    <t>Executive Order 3-73 % 
(Sponsor 1):</t>
  </si>
  <si>
    <r>
      <t>Housing with</t>
    </r>
    <r>
      <rPr>
        <sz val="12"/>
        <rFont val="Calibri"/>
        <family val="2"/>
        <scheme val="minor"/>
      </rPr>
      <t xml:space="preserve"> </t>
    </r>
    <r>
      <rPr>
        <b/>
        <sz val="12"/>
        <rFont val="Calibri"/>
        <family val="2"/>
        <scheme val="minor"/>
      </rPr>
      <t>Services Units</t>
    </r>
    <r>
      <rPr>
        <sz val="12"/>
        <rFont val="Calibri"/>
        <family val="2"/>
        <scheme val="minor"/>
      </rPr>
      <t xml:space="preserve"> </t>
    </r>
    <r>
      <rPr>
        <i/>
        <sz val="12"/>
        <rFont val="Calibri"/>
        <family val="2"/>
        <scheme val="minor"/>
      </rPr>
      <t>(on-site):</t>
    </r>
  </si>
  <si>
    <t>Executive Order 3-73 % 
(Sponsor 2):</t>
  </si>
  <si>
    <r>
      <t xml:space="preserve">Housing with Services Units </t>
    </r>
    <r>
      <rPr>
        <i/>
        <sz val="12"/>
        <color rgb="FF000000"/>
        <rFont val="Calibri"/>
        <family val="2"/>
        <scheme val="minor"/>
      </rPr>
      <t>(off-site):</t>
    </r>
  </si>
  <si>
    <t>Total Tax Credits Requested:</t>
  </si>
  <si>
    <t>Applicable Fraction:</t>
  </si>
  <si>
    <t>Per Unit TC Requested:</t>
  </si>
  <si>
    <t>Minimum Set Aside Election:</t>
  </si>
  <si>
    <t>Basis Boost:</t>
  </si>
  <si>
    <t>Basis Boost Type:</t>
  </si>
  <si>
    <t>State Affordable Housing Tax Credits Requested:</t>
  </si>
  <si>
    <t>Equity:</t>
  </si>
  <si>
    <t>Trending:</t>
  </si>
  <si>
    <t>Term:</t>
  </si>
  <si>
    <t>Loan-to-Value:</t>
  </si>
  <si>
    <t>Amortization:</t>
  </si>
  <si>
    <t>Expense Coverage Ratio:</t>
  </si>
  <si>
    <t>10 yr avg Debt 
Coverage Ratio (DCR):</t>
  </si>
  <si>
    <t>VHFA Construction Debt:</t>
  </si>
  <si>
    <t>Rate:</t>
  </si>
  <si>
    <t>VHFA Equity Bridge Loan:</t>
  </si>
  <si>
    <t>Vermont Housing 
Investment Fund:</t>
  </si>
  <si>
    <r>
      <t>Funding:</t>
    </r>
    <r>
      <rPr>
        <sz val="12"/>
        <color theme="1" tint="0.249977111117893"/>
        <rFont val="Calibri"/>
        <family val="2"/>
        <scheme val="minor"/>
      </rPr>
      <t xml:space="preserve"> (% of TDC)</t>
    </r>
  </si>
  <si>
    <t>20/50</t>
  </si>
  <si>
    <t>Yes</t>
  </si>
  <si>
    <t>No</t>
  </si>
  <si>
    <t>VHFASummarySheet</t>
  </si>
  <si>
    <t>Permanent Debt</t>
  </si>
  <si>
    <t>VHFA Tax Exempt Permanent Debt</t>
  </si>
  <si>
    <t>VHFA Taxable Permanent Debt</t>
  </si>
  <si>
    <t>VHFA Special Debt</t>
  </si>
  <si>
    <t>None</t>
  </si>
  <si>
    <t>Construction Debt</t>
  </si>
  <si>
    <t>VHFA Taxable Construction Debt</t>
  </si>
  <si>
    <t>Other Construction Debt</t>
  </si>
  <si>
    <t>Equity Bridge Loan</t>
  </si>
  <si>
    <t>VHFA Equity Bridge Loan</t>
  </si>
  <si>
    <t>Inc 1%, Exp 2.5%, Vac 5%</t>
  </si>
  <si>
    <t>Inc 1.5%, Exp 3%, Vac 5%</t>
  </si>
  <si>
    <t>Special Trending</t>
  </si>
  <si>
    <t>Age Specific</t>
  </si>
  <si>
    <t>LIHTC - 9%</t>
  </si>
  <si>
    <t>LIHTC - 4%</t>
  </si>
  <si>
    <t>Include in basis?</t>
  </si>
  <si>
    <t>Adjusted for 15% HC Units for Housing with Services</t>
  </si>
  <si>
    <t>Not adjusted</t>
  </si>
  <si>
    <t>40/60</t>
  </si>
  <si>
    <t>Other</t>
  </si>
  <si>
    <t>Devel Fee</t>
  </si>
  <si>
    <t>Percentage</t>
  </si>
  <si>
    <t>Maximum</t>
  </si>
  <si>
    <t># Units</t>
  </si>
  <si>
    <t>New Construction Ceiling Credit</t>
  </si>
  <si>
    <t>Fee Deferred</t>
  </si>
  <si>
    <t>Unrelated Acq Rehab Bond</t>
  </si>
  <si>
    <t>Unrelated Acq Rehab Ceiling</t>
  </si>
  <si>
    <t>Related Acquisition &amp; Rehab</t>
  </si>
  <si>
    <t>Related Rehab</t>
  </si>
  <si>
    <t>PERMANENT SOURCES</t>
  </si>
  <si>
    <t>CONSTRUCTION SOURCES</t>
  </si>
  <si>
    <t xml:space="preserve">A&amp;E Combined Contract </t>
  </si>
  <si>
    <t>ADA Mobility</t>
  </si>
  <si>
    <t>ADA A/V</t>
  </si>
  <si>
    <t>-</t>
  </si>
  <si>
    <t>25%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</si>
</sst>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dd\-mmm\-yy_)"/>
    <numFmt numFmtId="165" formatCode="0.0%"/>
    <numFmt numFmtId="167" formatCode="dd\-mmm\-yy"/>
    <numFmt numFmtId="168" formatCode="[$-409]mmmm\ d\,\ yyyy;@"/>
    <numFmt numFmtId="169" formatCode="_(&quot;$&quot;* #,##0_);_(&quot;$&quot;* \(#,##0\);_(&quot;$&quot;* &quot;-&quot;??_);_(@_)"/>
    <numFmt numFmtId="170" formatCode="_(* #,##0_);_(* \(#,##0\);_(* &quot;-&quot;??_);_(@_)"/>
    <numFmt numFmtId="171" formatCode="m/d/yy;@"/>
    <numFmt numFmtId="172" formatCode="0.0_)"/>
    <numFmt numFmtId="173" formatCode="&quot;$&quot;#,##0"/>
  </numFmts>
  <fonts count="47" x14ac:knownFonts="1">
    <font>
      <sz val="12"/>
      <name val="Courier"/>
    </font>
    <font>
      <sz val="8"/>
      <name val="Times New Roman"/>
      <family val="1"/>
    </font>
    <font>
      <sz val="12"/>
      <name val="Courier"/>
      <family val="3"/>
    </font>
    <font>
      <sz val="8"/>
      <color indexed="81"/>
      <name val="Tahoma"/>
      <family val="2"/>
    </font>
    <font>
      <sz val="12"/>
      <name val="Courier"/>
    </font>
    <font>
      <sz val="9"/>
      <color indexed="81"/>
      <name val="Tahoma"/>
      <family val="2"/>
    </font>
    <font>
      <sz val="10"/>
      <color indexed="81"/>
      <name val="Tahoma"/>
      <family val="2"/>
    </font>
    <font>
      <sz val="12"/>
      <name val="Arial"/>
      <family val="2"/>
    </font>
    <font>
      <b/>
      <sz val="12"/>
      <name val="Arial"/>
      <family val="2"/>
    </font>
    <font>
      <i/>
      <sz val="12"/>
      <name val="Arial"/>
      <family val="2"/>
    </font>
    <font>
      <sz val="11"/>
      <name val="Arial"/>
      <family val="2"/>
    </font>
    <font>
      <sz val="11"/>
      <color theme="0"/>
      <name val="Arial"/>
      <family val="2"/>
    </font>
    <font>
      <b/>
      <sz val="11"/>
      <name val="Arial"/>
      <family val="2"/>
    </font>
    <font>
      <i/>
      <sz val="11"/>
      <name val="Arial"/>
      <family val="2"/>
    </font>
    <font>
      <sz val="12"/>
      <color indexed="8"/>
      <name val="Arial"/>
      <family val="2"/>
    </font>
    <font>
      <i/>
      <sz val="10"/>
      <name val="Arial"/>
      <family val="2"/>
    </font>
    <font>
      <i/>
      <sz val="12"/>
      <color indexed="8"/>
      <name val="Arial"/>
      <family val="2"/>
    </font>
    <font>
      <b/>
      <sz val="12"/>
      <color indexed="8"/>
      <name val="Arial"/>
      <family val="2"/>
    </font>
    <font>
      <b/>
      <sz val="11"/>
      <color indexed="8"/>
      <name val="Arial"/>
      <family val="2"/>
    </font>
    <font>
      <sz val="11"/>
      <color indexed="8"/>
      <name val="Arial"/>
      <family val="2"/>
    </font>
    <font>
      <i/>
      <sz val="11"/>
      <color indexed="8"/>
      <name val="Arial"/>
      <family val="2"/>
    </font>
    <font>
      <sz val="11"/>
      <color theme="0" tint="-0.499984740745262"/>
      <name val="Arial"/>
      <family val="2"/>
    </font>
    <font>
      <b/>
      <sz val="11"/>
      <color theme="3"/>
      <name val="Arial"/>
      <family val="2"/>
    </font>
    <font>
      <sz val="10"/>
      <color indexed="8"/>
      <name val="Arial"/>
      <family val="2"/>
    </font>
    <font>
      <sz val="12"/>
      <name val="Calibri"/>
      <family val="2"/>
    </font>
    <font>
      <sz val="12"/>
      <name val="Calibri"/>
      <family val="2"/>
      <scheme val="minor"/>
    </font>
    <font>
      <u/>
      <sz val="12"/>
      <name val="Calibri"/>
      <family val="2"/>
      <scheme val="minor"/>
    </font>
    <font>
      <b/>
      <sz val="9"/>
      <color indexed="81"/>
      <name val="Tahoma"/>
      <family val="2"/>
    </font>
    <font>
      <i/>
      <sz val="10"/>
      <color indexed="8"/>
      <name val="Arial"/>
      <family val="2"/>
    </font>
    <font>
      <b/>
      <i/>
      <sz val="11"/>
      <color indexed="8"/>
      <name val="Arial"/>
      <family val="2"/>
    </font>
    <font>
      <sz val="10"/>
      <name val="Arial"/>
      <family val="2"/>
    </font>
    <font>
      <b/>
      <sz val="10"/>
      <name val="Arial"/>
      <family val="2"/>
    </font>
    <font>
      <i/>
      <sz val="9"/>
      <name val="Arial"/>
      <family val="2"/>
    </font>
    <font>
      <i/>
      <sz val="11"/>
      <color rgb="FF0070C0"/>
      <name val="Arial"/>
      <family val="2"/>
    </font>
    <font>
      <sz val="12"/>
      <color rgb="FFFF0000"/>
      <name val="Arial"/>
      <family val="2"/>
    </font>
    <font>
      <sz val="11"/>
      <color theme="0"/>
      <name val="Calibri"/>
      <family val="2"/>
      <scheme val="minor"/>
    </font>
    <font>
      <sz val="11"/>
      <name val="Calibri"/>
      <family val="2"/>
      <scheme val="minor"/>
    </font>
    <font>
      <b/>
      <sz val="12"/>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sz val="12"/>
      <color theme="1" tint="0.249977111117893"/>
      <name val="Calibri"/>
      <family val="2"/>
      <scheme val="minor"/>
    </font>
    <font>
      <sz val="12"/>
      <color indexed="8"/>
      <name val="Calibri"/>
      <family val="2"/>
      <scheme val="minor"/>
    </font>
    <font>
      <b/>
      <i/>
      <sz val="10"/>
      <name val="Arial"/>
      <family val="2"/>
    </font>
    <font>
      <u/>
      <sz val="12"/>
      <name val="Calibri"/>
      <family val="2"/>
    </font>
    <font>
      <sz val="10"/>
      <color rgb="FFFF0000"/>
      <name val="Arial"/>
      <family val="2"/>
    </font>
    <font>
      <i/>
      <sz val="12"/>
      <color rgb="FF0070C0"/>
      <name val="Arial"/>
      <family val="2"/>
    </font>
  </fonts>
  <fills count="11">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s>
  <borders count="52">
    <border>
      <left/>
      <right/>
      <top/>
      <bottom/>
      <diagonal/>
    </border>
    <border>
      <left/>
      <right/>
      <top style="thin">
        <color indexed="64"/>
      </top>
      <bottom/>
      <diagonal/>
    </border>
    <border>
      <left/>
      <right/>
      <top style="double">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style="double">
        <color indexed="64"/>
      </top>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double">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5">
    <xf numFmtId="37" fontId="0" fillId="0" borderId="0"/>
    <xf numFmtId="9" fontId="1" fillId="0" borderId="0" applyFont="0" applyFill="0" applyBorder="0" applyAlignment="0" applyProtection="0"/>
    <xf numFmtId="37" fontId="2" fillId="0" borderId="0"/>
    <xf numFmtId="44" fontId="4" fillId="0" borderId="0" applyFont="0" applyFill="0" applyBorder="0" applyAlignment="0" applyProtection="0"/>
    <xf numFmtId="43" fontId="4" fillId="0" borderId="0" applyFont="0" applyFill="0" applyBorder="0" applyAlignment="0" applyProtection="0"/>
  </cellStyleXfs>
  <cellXfs count="641">
    <xf numFmtId="37" fontId="0" fillId="0" borderId="0" xfId="0"/>
    <xf numFmtId="37" fontId="10" fillId="0" borderId="0" xfId="0" applyFont="1"/>
    <xf numFmtId="37" fontId="19" fillId="0" borderId="0" xfId="0" applyFont="1" applyAlignment="1">
      <alignment horizontal="left"/>
    </xf>
    <xf numFmtId="37" fontId="19" fillId="0" borderId="0" xfId="0" applyFont="1" applyAlignment="1">
      <alignment horizontal="right"/>
    </xf>
    <xf numFmtId="37" fontId="19" fillId="0" borderId="0" xfId="0" applyFont="1"/>
    <xf numFmtId="10" fontId="10" fillId="0" borderId="0" xfId="0" applyNumberFormat="1" applyFont="1"/>
    <xf numFmtId="37" fontId="14" fillId="0" borderId="0" xfId="0" applyFont="1" applyAlignment="1" applyProtection="1">
      <alignment horizontal="left"/>
      <protection locked="0"/>
    </xf>
    <xf numFmtId="37" fontId="7" fillId="0" borderId="0" xfId="0" applyFont="1" applyProtection="1">
      <protection locked="0"/>
    </xf>
    <xf numFmtId="10" fontId="7" fillId="0" borderId="0" xfId="0" applyNumberFormat="1" applyFont="1" applyProtection="1">
      <protection locked="0"/>
    </xf>
    <xf numFmtId="37" fontId="14" fillId="0" borderId="0" xfId="0" applyFont="1" applyAlignment="1" applyProtection="1">
      <alignment horizontal="right"/>
      <protection locked="0"/>
    </xf>
    <xf numFmtId="37" fontId="7" fillId="0" borderId="3" xfId="0" applyFont="1" applyBorder="1" applyProtection="1">
      <protection locked="0"/>
    </xf>
    <xf numFmtId="10" fontId="7" fillId="0" borderId="0" xfId="1" applyNumberFormat="1" applyFont="1" applyFill="1" applyProtection="1">
      <protection locked="0"/>
    </xf>
    <xf numFmtId="37" fontId="10" fillId="0" borderId="0" xfId="0" applyFont="1" applyProtection="1">
      <protection locked="0"/>
    </xf>
    <xf numFmtId="37" fontId="19" fillId="0" borderId="0" xfId="0" applyFont="1" applyAlignment="1" applyProtection="1">
      <alignment horizontal="left"/>
      <protection locked="0"/>
    </xf>
    <xf numFmtId="169" fontId="10" fillId="0" borderId="0" xfId="3" applyNumberFormat="1" applyFont="1" applyProtection="1">
      <protection locked="0"/>
    </xf>
    <xf numFmtId="37" fontId="19" fillId="0" borderId="0" xfId="0" quotePrefix="1" applyFont="1" applyAlignment="1" applyProtection="1">
      <alignment horizontal="left"/>
      <protection locked="0"/>
    </xf>
    <xf numFmtId="169" fontId="19" fillId="0" borderId="0" xfId="3" applyNumberFormat="1" applyFont="1" applyProtection="1">
      <protection locked="0"/>
    </xf>
    <xf numFmtId="37" fontId="19" fillId="0" borderId="0" xfId="0" applyFont="1" applyProtection="1">
      <protection locked="0"/>
    </xf>
    <xf numFmtId="37" fontId="10" fillId="0" borderId="16" xfId="0" applyFont="1" applyBorder="1" applyProtection="1">
      <protection locked="0"/>
    </xf>
    <xf numFmtId="167" fontId="10" fillId="0" borderId="16" xfId="0" applyNumberFormat="1" applyFont="1" applyBorder="1" applyProtection="1">
      <protection locked="0"/>
    </xf>
    <xf numFmtId="37" fontId="10" fillId="0" borderId="0" xfId="0" applyFont="1" applyAlignment="1" applyProtection="1">
      <alignment horizontal="center" wrapText="1"/>
      <protection locked="0"/>
    </xf>
    <xf numFmtId="37" fontId="10" fillId="0" borderId="0" xfId="0" applyFont="1" applyAlignment="1" applyProtection="1">
      <alignment horizontal="right" wrapText="1"/>
      <protection locked="0"/>
    </xf>
    <xf numFmtId="37" fontId="10" fillId="0" borderId="0" xfId="0" applyFont="1" applyAlignment="1" applyProtection="1">
      <alignment wrapText="1"/>
      <protection locked="0"/>
    </xf>
    <xf numFmtId="37" fontId="20" fillId="0" borderId="0" xfId="0" applyFont="1" applyAlignment="1" applyProtection="1">
      <alignment horizontal="right"/>
      <protection locked="0"/>
    </xf>
    <xf numFmtId="169" fontId="19" fillId="0" borderId="1" xfId="3" applyNumberFormat="1" applyFont="1" applyBorder="1" applyProtection="1">
      <protection locked="0"/>
    </xf>
    <xf numFmtId="37" fontId="12" fillId="0" borderId="0" xfId="0" applyFont="1" applyProtection="1">
      <protection locked="0"/>
    </xf>
    <xf numFmtId="37" fontId="10" fillId="0" borderId="0" xfId="0" applyFont="1" applyAlignment="1" applyProtection="1">
      <alignment horizontal="right"/>
      <protection locked="0"/>
    </xf>
    <xf numFmtId="37" fontId="19" fillId="0" borderId="0" xfId="0" applyFont="1" applyAlignment="1" applyProtection="1">
      <alignment horizontal="right"/>
      <protection locked="0"/>
    </xf>
    <xf numFmtId="14" fontId="19" fillId="0" borderId="16" xfId="0" applyNumberFormat="1" applyFont="1" applyBorder="1" applyProtection="1">
      <protection locked="0"/>
    </xf>
    <xf numFmtId="37" fontId="19" fillId="0" borderId="1" xfId="0" applyFont="1" applyBorder="1" applyProtection="1">
      <protection locked="0"/>
    </xf>
    <xf numFmtId="37" fontId="10" fillId="0" borderId="2" xfId="0" applyFont="1" applyBorder="1" applyProtection="1">
      <protection locked="0"/>
    </xf>
    <xf numFmtId="169" fontId="19" fillId="0" borderId="2" xfId="3" applyNumberFormat="1" applyFont="1" applyBorder="1" applyProtection="1"/>
    <xf numFmtId="169" fontId="19" fillId="0" borderId="21" xfId="3" applyNumberFormat="1" applyFont="1" applyBorder="1" applyProtection="1"/>
    <xf numFmtId="1" fontId="10" fillId="0" borderId="0" xfId="0" applyNumberFormat="1" applyFont="1" applyProtection="1">
      <protection locked="0"/>
    </xf>
    <xf numFmtId="10" fontId="10" fillId="0" borderId="0" xfId="1" applyNumberFormat="1" applyFont="1" applyProtection="1">
      <protection locked="0"/>
    </xf>
    <xf numFmtId="165" fontId="10" fillId="0" borderId="0" xfId="0" applyNumberFormat="1" applyFont="1" applyProtection="1">
      <protection locked="0"/>
    </xf>
    <xf numFmtId="1" fontId="19" fillId="0" borderId="1" xfId="0" applyNumberFormat="1" applyFont="1" applyBorder="1" applyProtection="1">
      <protection locked="0"/>
    </xf>
    <xf numFmtId="37" fontId="10" fillId="0" borderId="3" xfId="0" applyFont="1" applyBorder="1" applyProtection="1">
      <protection locked="0"/>
    </xf>
    <xf numFmtId="37" fontId="14" fillId="0" borderId="16" xfId="0" applyFont="1" applyBorder="1" applyProtection="1">
      <protection locked="0"/>
    </xf>
    <xf numFmtId="37" fontId="7" fillId="0" borderId="16" xfId="0" applyFont="1" applyBorder="1" applyProtection="1">
      <protection locked="0"/>
    </xf>
    <xf numFmtId="37" fontId="7" fillId="0" borderId="28" xfId="0" applyFont="1" applyBorder="1" applyProtection="1">
      <protection locked="0"/>
    </xf>
    <xf numFmtId="37" fontId="14" fillId="0" borderId="0" xfId="0" applyFont="1" applyProtection="1">
      <protection locked="0"/>
    </xf>
    <xf numFmtId="37" fontId="14" fillId="0" borderId="0" xfId="0" applyFont="1" applyAlignment="1" applyProtection="1">
      <alignment horizontal="left" wrapText="1"/>
      <protection locked="0"/>
    </xf>
    <xf numFmtId="37" fontId="7" fillId="0" borderId="0" xfId="0" applyFont="1" applyAlignment="1" applyProtection="1">
      <alignment wrapText="1"/>
      <protection locked="0"/>
    </xf>
    <xf numFmtId="9" fontId="7" fillId="0" borderId="0" xfId="0" applyNumberFormat="1" applyFont="1" applyProtection="1">
      <protection locked="0"/>
    </xf>
    <xf numFmtId="37" fontId="14" fillId="0" borderId="0" xfId="0" applyFont="1" applyAlignment="1" applyProtection="1">
      <alignment horizontal="center"/>
      <protection locked="0"/>
    </xf>
    <xf numFmtId="37" fontId="17" fillId="0" borderId="2" xfId="0" applyFont="1" applyBorder="1" applyProtection="1">
      <protection locked="0"/>
    </xf>
    <xf numFmtId="37" fontId="14" fillId="0" borderId="2" xfId="0" applyFont="1" applyBorder="1" applyProtection="1">
      <protection locked="0"/>
    </xf>
    <xf numFmtId="37" fontId="7" fillId="0" borderId="2" xfId="0" applyFont="1" applyBorder="1" applyProtection="1">
      <protection locked="0"/>
    </xf>
    <xf numFmtId="37" fontId="7" fillId="0" borderId="0" xfId="0" applyFont="1" applyAlignment="1" applyProtection="1">
      <alignment horizontal="right"/>
      <protection locked="0"/>
    </xf>
    <xf numFmtId="37" fontId="8" fillId="0" borderId="0" xfId="0" applyFont="1" applyProtection="1">
      <protection locked="0"/>
    </xf>
    <xf numFmtId="37" fontId="7" fillId="0" borderId="0" xfId="0" applyFont="1" applyAlignment="1" applyProtection="1">
      <alignment horizontal="left"/>
      <protection locked="0"/>
    </xf>
    <xf numFmtId="37" fontId="14" fillId="0" borderId="16" xfId="0" applyFont="1" applyBorder="1" applyAlignment="1" applyProtection="1">
      <alignment horizontal="left"/>
      <protection locked="0"/>
    </xf>
    <xf numFmtId="37" fontId="19" fillId="0" borderId="16" xfId="0" applyFont="1" applyBorder="1" applyProtection="1">
      <protection locked="0"/>
    </xf>
    <xf numFmtId="169" fontId="19" fillId="0" borderId="2" xfId="3" applyNumberFormat="1" applyFont="1" applyBorder="1" applyProtection="1">
      <protection locked="0"/>
    </xf>
    <xf numFmtId="10" fontId="10" fillId="0" borderId="0" xfId="1" applyNumberFormat="1" applyFont="1" applyFill="1" applyProtection="1">
      <protection locked="0"/>
    </xf>
    <xf numFmtId="37" fontId="19" fillId="0" borderId="0" xfId="0" applyFont="1" applyAlignment="1" applyProtection="1">
      <alignment horizontal="right" wrapText="1"/>
      <protection locked="0"/>
    </xf>
    <xf numFmtId="10" fontId="10" fillId="0" borderId="0" xfId="0" applyNumberFormat="1" applyFont="1" applyProtection="1">
      <protection locked="0"/>
    </xf>
    <xf numFmtId="37" fontId="19" fillId="0" borderId="2" xfId="0" applyFont="1" applyBorder="1" applyProtection="1">
      <protection locked="0"/>
    </xf>
    <xf numFmtId="37" fontId="12" fillId="0" borderId="0" xfId="0" applyFont="1" applyAlignment="1" applyProtection="1">
      <alignment vertical="center"/>
      <protection locked="0"/>
    </xf>
    <xf numFmtId="37" fontId="12" fillId="0" borderId="11" xfId="0" applyFont="1" applyBorder="1" applyAlignment="1" applyProtection="1">
      <alignment vertical="center" textRotation="90" wrapText="1"/>
      <protection locked="0"/>
    </xf>
    <xf numFmtId="37" fontId="10" fillId="0" borderId="0" xfId="0" applyFont="1" applyAlignment="1" applyProtection="1">
      <alignment horizontal="center"/>
      <protection locked="0"/>
    </xf>
    <xf numFmtId="37" fontId="18" fillId="0" borderId="0" xfId="0" applyFont="1" applyAlignment="1" applyProtection="1">
      <alignment horizontal="left"/>
      <protection locked="0"/>
    </xf>
    <xf numFmtId="37" fontId="19" fillId="0" borderId="0" xfId="2" applyFont="1" applyAlignment="1" applyProtection="1">
      <alignment horizontal="left"/>
      <protection locked="0"/>
    </xf>
    <xf numFmtId="37" fontId="19" fillId="0" borderId="0" xfId="2" applyFont="1" applyAlignment="1" applyProtection="1">
      <alignment wrapText="1"/>
      <protection locked="0"/>
    </xf>
    <xf numFmtId="37" fontId="19" fillId="0" borderId="27" xfId="0" applyFont="1" applyBorder="1" applyAlignment="1" applyProtection="1">
      <alignment horizontal="left"/>
      <protection locked="0"/>
    </xf>
    <xf numFmtId="37" fontId="19" fillId="0" borderId="0" xfId="2" applyFont="1" applyAlignment="1" applyProtection="1">
      <alignment horizontal="left" wrapText="1"/>
      <protection locked="0"/>
    </xf>
    <xf numFmtId="37" fontId="10" fillId="0" borderId="18" xfId="0" applyFont="1" applyBorder="1" applyProtection="1">
      <protection locked="0"/>
    </xf>
    <xf numFmtId="37" fontId="10" fillId="0" borderId="19" xfId="0" applyFont="1" applyBorder="1" applyProtection="1">
      <protection locked="0"/>
    </xf>
    <xf numFmtId="37" fontId="19" fillId="0" borderId="16" xfId="0" applyFont="1" applyBorder="1" applyAlignment="1" applyProtection="1">
      <alignment horizontal="right"/>
      <protection locked="0"/>
    </xf>
    <xf numFmtId="14" fontId="19" fillId="0" borderId="3" xfId="0" applyNumberFormat="1" applyFont="1" applyBorder="1" applyProtection="1">
      <protection locked="0"/>
    </xf>
    <xf numFmtId="37" fontId="10" fillId="0" borderId="0" xfId="0" applyFont="1" applyAlignment="1" applyProtection="1">
      <alignment horizontal="fill"/>
      <protection locked="0"/>
    </xf>
    <xf numFmtId="37" fontId="10" fillId="0" borderId="0" xfId="0" applyFont="1" applyProtection="1">
      <protection locked="0" hidden="1"/>
    </xf>
    <xf numFmtId="37" fontId="19" fillId="0" borderId="0" xfId="0" applyFont="1" applyAlignment="1" applyProtection="1">
      <alignment horizontal="left"/>
      <protection locked="0" hidden="1"/>
    </xf>
    <xf numFmtId="37" fontId="10" fillId="0" borderId="0" xfId="0" applyFont="1" applyAlignment="1" applyProtection="1">
      <alignment horizontal="fill"/>
      <protection locked="0" hidden="1"/>
    </xf>
    <xf numFmtId="37" fontId="18" fillId="0" borderId="2" xfId="0" applyFont="1" applyBorder="1" applyProtection="1">
      <protection locked="0"/>
    </xf>
    <xf numFmtId="164" fontId="19" fillId="0" borderId="2" xfId="0" applyNumberFormat="1" applyFont="1" applyBorder="1" applyProtection="1">
      <protection locked="0"/>
    </xf>
    <xf numFmtId="37" fontId="19" fillId="0" borderId="2" xfId="0" applyFont="1" applyBorder="1" applyAlignment="1" applyProtection="1">
      <alignment horizontal="right"/>
      <protection locked="0"/>
    </xf>
    <xf numFmtId="37" fontId="19" fillId="0" borderId="0" xfId="0" applyFont="1" applyAlignment="1" applyProtection="1">
      <alignment wrapText="1"/>
      <protection locked="0"/>
    </xf>
    <xf numFmtId="10" fontId="20" fillId="0" borderId="0" xfId="0" applyNumberFormat="1" applyFont="1" applyAlignment="1" applyProtection="1">
      <alignment horizontal="right"/>
      <protection locked="0"/>
    </xf>
    <xf numFmtId="37" fontId="10" fillId="0" borderId="3" xfId="0" applyFont="1" applyBorder="1" applyAlignment="1" applyProtection="1">
      <alignment horizontal="right"/>
      <protection locked="0"/>
    </xf>
    <xf numFmtId="37" fontId="19" fillId="0" borderId="0" xfId="0" quotePrefix="1" applyFont="1" applyAlignment="1" applyProtection="1">
      <alignment horizontal="right"/>
      <protection locked="0"/>
    </xf>
    <xf numFmtId="37" fontId="18" fillId="0" borderId="3" xfId="0" applyFont="1" applyBorder="1" applyAlignment="1" applyProtection="1">
      <alignment horizontal="left"/>
      <protection locked="0"/>
    </xf>
    <xf numFmtId="37" fontId="19" fillId="0" borderId="3" xfId="0" applyFont="1" applyBorder="1" applyProtection="1">
      <protection locked="0"/>
    </xf>
    <xf numFmtId="10" fontId="19" fillId="0" borderId="0" xfId="1" applyNumberFormat="1" applyFont="1" applyFill="1" applyBorder="1" applyProtection="1">
      <protection locked="0"/>
    </xf>
    <xf numFmtId="171" fontId="10" fillId="0" borderId="0" xfId="0" applyNumberFormat="1" applyFont="1" applyProtection="1">
      <protection locked="0"/>
    </xf>
    <xf numFmtId="37" fontId="10" fillId="0" borderId="7" xfId="0" applyFont="1" applyBorder="1" applyProtection="1">
      <protection locked="0"/>
    </xf>
    <xf numFmtId="37" fontId="19" fillId="0" borderId="5" xfId="0" applyFont="1" applyBorder="1" applyProtection="1">
      <protection locked="0"/>
    </xf>
    <xf numFmtId="3" fontId="10" fillId="0" borderId="0" xfId="0" applyNumberFormat="1" applyFont="1" applyProtection="1">
      <protection locked="0"/>
    </xf>
    <xf numFmtId="10" fontId="10" fillId="0" borderId="0" xfId="1" applyNumberFormat="1" applyFont="1" applyFill="1" applyProtection="1"/>
    <xf numFmtId="37" fontId="22" fillId="0" borderId="4" xfId="0" applyFont="1" applyBorder="1" applyAlignment="1" applyProtection="1">
      <alignment horizontal="left"/>
      <protection locked="0"/>
    </xf>
    <xf numFmtId="37" fontId="10" fillId="0" borderId="1" xfId="0" applyFont="1" applyBorder="1" applyProtection="1">
      <protection locked="0"/>
    </xf>
    <xf numFmtId="37" fontId="10" fillId="0" borderId="17" xfId="0" applyFont="1" applyBorder="1" applyProtection="1">
      <protection locked="0"/>
    </xf>
    <xf numFmtId="37" fontId="19" fillId="0" borderId="5" xfId="0" applyFont="1" applyBorder="1" applyAlignment="1" applyProtection="1">
      <alignment horizontal="left"/>
      <protection locked="0"/>
    </xf>
    <xf numFmtId="37" fontId="19" fillId="0" borderId="6" xfId="0" applyFont="1" applyBorder="1" applyAlignment="1" applyProtection="1">
      <alignment horizontal="left"/>
      <protection locked="0"/>
    </xf>
    <xf numFmtId="37" fontId="25" fillId="0" borderId="0" xfId="0" applyFont="1"/>
    <xf numFmtId="37" fontId="7" fillId="3" borderId="0" xfId="0" applyFont="1" applyFill="1"/>
    <xf numFmtId="37" fontId="14" fillId="3" borderId="0" xfId="0" applyFont="1" applyFill="1"/>
    <xf numFmtId="10" fontId="7" fillId="3" borderId="0" xfId="1" applyNumberFormat="1" applyFont="1" applyFill="1" applyBorder="1" applyProtection="1"/>
    <xf numFmtId="37" fontId="7" fillId="3" borderId="0" xfId="0" applyFont="1" applyFill="1" applyAlignment="1">
      <alignment horizontal="right"/>
    </xf>
    <xf numFmtId="39" fontId="7" fillId="3" borderId="0" xfId="0" applyNumberFormat="1" applyFont="1" applyFill="1" applyAlignment="1">
      <alignment horizontal="right"/>
    </xf>
    <xf numFmtId="10" fontId="14" fillId="3" borderId="0" xfId="0" applyNumberFormat="1" applyFont="1" applyFill="1" applyAlignment="1">
      <alignment horizontal="right" wrapText="1"/>
    </xf>
    <xf numFmtId="0" fontId="14" fillId="3" borderId="0" xfId="0" applyNumberFormat="1" applyFont="1" applyFill="1" applyAlignment="1">
      <alignment horizontal="right"/>
    </xf>
    <xf numFmtId="169" fontId="10" fillId="3" borderId="0" xfId="3" applyNumberFormat="1" applyFont="1" applyFill="1" applyProtection="1"/>
    <xf numFmtId="170" fontId="12" fillId="3" borderId="11" xfId="4" applyNumberFormat="1" applyFont="1" applyFill="1" applyBorder="1" applyProtection="1"/>
    <xf numFmtId="10" fontId="19" fillId="3" borderId="0" xfId="1" applyNumberFormat="1" applyFont="1" applyFill="1" applyAlignment="1" applyProtection="1">
      <alignment horizontal="right"/>
    </xf>
    <xf numFmtId="37" fontId="25" fillId="0" borderId="0" xfId="0" applyFont="1" applyAlignment="1">
      <alignment wrapText="1"/>
    </xf>
    <xf numFmtId="37" fontId="14" fillId="0" borderId="28" xfId="0" applyFont="1" applyBorder="1" applyProtection="1">
      <protection locked="0"/>
    </xf>
    <xf numFmtId="37" fontId="15" fillId="0" borderId="28" xfId="0" applyFont="1" applyBorder="1" applyAlignment="1" applyProtection="1">
      <alignment horizontal="right"/>
      <protection locked="0"/>
    </xf>
    <xf numFmtId="169" fontId="10" fillId="0" borderId="0" xfId="3" applyNumberFormat="1" applyFont="1" applyFill="1" applyProtection="1">
      <protection locked="0"/>
    </xf>
    <xf numFmtId="37" fontId="26" fillId="0" borderId="0" xfId="0" applyFont="1" applyAlignment="1">
      <alignment wrapText="1"/>
    </xf>
    <xf numFmtId="37" fontId="21" fillId="0" borderId="0" xfId="0" applyFont="1" applyProtection="1">
      <protection locked="0"/>
    </xf>
    <xf numFmtId="14" fontId="16" fillId="4" borderId="0" xfId="0" applyNumberFormat="1" applyFont="1" applyFill="1" applyAlignment="1" applyProtection="1">
      <alignment horizontal="center"/>
      <protection locked="0"/>
    </xf>
    <xf numFmtId="1" fontId="7" fillId="4" borderId="0" xfId="0" applyNumberFormat="1" applyFont="1" applyFill="1" applyProtection="1">
      <protection locked="0"/>
    </xf>
    <xf numFmtId="37" fontId="7" fillId="4" borderId="0" xfId="0" applyFont="1" applyFill="1" applyProtection="1">
      <protection locked="0"/>
    </xf>
    <xf numFmtId="37" fontId="14" fillId="4" borderId="0" xfId="0" applyFont="1" applyFill="1" applyAlignment="1" applyProtection="1">
      <alignment horizontal="left"/>
      <protection locked="0"/>
    </xf>
    <xf numFmtId="10" fontId="7" fillId="4" borderId="0" xfId="0" applyNumberFormat="1" applyFont="1" applyFill="1" applyProtection="1">
      <protection locked="0"/>
    </xf>
    <xf numFmtId="37" fontId="7" fillId="4" borderId="0" xfId="0" applyFont="1" applyFill="1" applyAlignment="1" applyProtection="1">
      <alignment horizontal="right"/>
      <protection locked="0"/>
    </xf>
    <xf numFmtId="14" fontId="7" fillId="4" borderId="0" xfId="0" applyNumberFormat="1" applyFont="1" applyFill="1" applyAlignment="1" applyProtection="1">
      <alignment horizontal="right"/>
      <protection locked="0"/>
    </xf>
    <xf numFmtId="37" fontId="14" fillId="4" borderId="0" xfId="0" applyFont="1" applyFill="1" applyAlignment="1" applyProtection="1">
      <alignment horizontal="right"/>
      <protection locked="0"/>
    </xf>
    <xf numFmtId="10" fontId="7" fillId="4" borderId="0" xfId="0" applyNumberFormat="1" applyFont="1" applyFill="1" applyAlignment="1" applyProtection="1">
      <alignment horizontal="right"/>
      <protection locked="0"/>
    </xf>
    <xf numFmtId="169" fontId="7" fillId="4" borderId="0" xfId="3" applyNumberFormat="1" applyFont="1" applyFill="1" applyProtection="1">
      <protection locked="0"/>
    </xf>
    <xf numFmtId="44" fontId="7" fillId="4" borderId="0" xfId="3" applyFont="1" applyFill="1" applyProtection="1">
      <protection locked="0"/>
    </xf>
    <xf numFmtId="10" fontId="7" fillId="4" borderId="0" xfId="1" applyNumberFormat="1" applyFont="1" applyFill="1" applyProtection="1">
      <protection locked="0"/>
    </xf>
    <xf numFmtId="169" fontId="10" fillId="4" borderId="0" xfId="3" applyNumberFormat="1" applyFont="1" applyFill="1" applyProtection="1">
      <protection locked="0"/>
    </xf>
    <xf numFmtId="169" fontId="24" fillId="4" borderId="0" xfId="3" applyNumberFormat="1" applyFont="1" applyFill="1" applyBorder="1" applyAlignment="1" applyProtection="1">
      <protection locked="0"/>
    </xf>
    <xf numFmtId="169" fontId="10" fillId="4" borderId="3" xfId="3" applyNumberFormat="1" applyFont="1" applyFill="1" applyBorder="1" applyProtection="1">
      <protection locked="0"/>
    </xf>
    <xf numFmtId="49" fontId="19" fillId="4" borderId="0" xfId="0" applyNumberFormat="1" applyFont="1" applyFill="1" applyAlignment="1" applyProtection="1">
      <alignment horizontal="center"/>
      <protection locked="0"/>
    </xf>
    <xf numFmtId="49" fontId="10" fillId="4" borderId="0" xfId="0" applyNumberFormat="1" applyFont="1" applyFill="1" applyProtection="1">
      <protection locked="0"/>
    </xf>
    <xf numFmtId="169" fontId="19" fillId="4" borderId="0" xfId="3" applyNumberFormat="1" applyFont="1" applyFill="1" applyProtection="1">
      <protection locked="0"/>
    </xf>
    <xf numFmtId="0" fontId="10" fillId="4" borderId="11" xfId="0" applyNumberFormat="1" applyFont="1" applyFill="1" applyBorder="1" applyAlignment="1" applyProtection="1">
      <alignment horizontal="right"/>
      <protection locked="0"/>
    </xf>
    <xf numFmtId="1" fontId="10" fillId="4" borderId="11" xfId="0" applyNumberFormat="1" applyFont="1" applyFill="1" applyBorder="1" applyProtection="1">
      <protection locked="0"/>
    </xf>
    <xf numFmtId="1" fontId="10" fillId="4" borderId="11" xfId="4" applyNumberFormat="1" applyFont="1" applyFill="1" applyBorder="1" applyProtection="1">
      <protection locked="0"/>
    </xf>
    <xf numFmtId="1" fontId="10" fillId="4" borderId="14" xfId="0" applyNumberFormat="1" applyFont="1" applyFill="1" applyBorder="1" applyProtection="1">
      <protection locked="0"/>
    </xf>
    <xf numFmtId="3" fontId="10" fillId="4" borderId="13" xfId="0" applyNumberFormat="1" applyFont="1" applyFill="1" applyBorder="1" applyProtection="1">
      <protection locked="0"/>
    </xf>
    <xf numFmtId="37" fontId="10" fillId="4" borderId="11" xfId="0" applyFont="1" applyFill="1" applyBorder="1" applyProtection="1">
      <protection locked="0"/>
    </xf>
    <xf numFmtId="169" fontId="10" fillId="4" borderId="11" xfId="3" applyNumberFormat="1" applyFont="1" applyFill="1" applyBorder="1" applyProtection="1">
      <protection locked="0"/>
    </xf>
    <xf numFmtId="37" fontId="10" fillId="4" borderId="14" xfId="0" applyFont="1" applyFill="1" applyBorder="1" applyProtection="1">
      <protection locked="0"/>
    </xf>
    <xf numFmtId="49" fontId="10" fillId="4" borderId="11" xfId="0" applyNumberFormat="1" applyFont="1" applyFill="1" applyBorder="1" applyAlignment="1" applyProtection="1">
      <alignment horizontal="right"/>
      <protection locked="0"/>
    </xf>
    <xf numFmtId="49" fontId="10" fillId="4" borderId="11" xfId="0" applyNumberFormat="1" applyFont="1" applyFill="1" applyBorder="1" applyProtection="1">
      <protection locked="0"/>
    </xf>
    <xf numFmtId="37" fontId="10" fillId="4" borderId="0" xfId="0" applyFont="1" applyFill="1" applyProtection="1">
      <protection locked="0"/>
    </xf>
    <xf numFmtId="170" fontId="10" fillId="4" borderId="11" xfId="4" applyNumberFormat="1" applyFont="1" applyFill="1" applyBorder="1" applyProtection="1">
      <protection locked="0"/>
    </xf>
    <xf numFmtId="37" fontId="9" fillId="4" borderId="16" xfId="0" applyFont="1" applyFill="1" applyBorder="1" applyAlignment="1" applyProtection="1">
      <alignment horizontal="left"/>
      <protection locked="0"/>
    </xf>
    <xf numFmtId="169" fontId="10" fillId="4" borderId="18" xfId="3" applyNumberFormat="1" applyFont="1" applyFill="1" applyBorder="1" applyProtection="1">
      <protection locked="0"/>
    </xf>
    <xf numFmtId="169" fontId="10" fillId="4" borderId="27" xfId="3" applyNumberFormat="1" applyFont="1" applyFill="1" applyBorder="1" applyProtection="1">
      <protection locked="0"/>
    </xf>
    <xf numFmtId="164" fontId="10" fillId="0" borderId="0" xfId="0" applyNumberFormat="1" applyFont="1" applyProtection="1">
      <protection locked="0"/>
    </xf>
    <xf numFmtId="14" fontId="19" fillId="0" borderId="0" xfId="0" applyNumberFormat="1" applyFont="1" applyAlignment="1" applyProtection="1">
      <alignment horizontal="right"/>
      <protection locked="0"/>
    </xf>
    <xf numFmtId="44" fontId="10" fillId="4" borderId="0" xfId="3" applyFont="1" applyFill="1" applyProtection="1">
      <protection locked="0"/>
    </xf>
    <xf numFmtId="44" fontId="19" fillId="4" borderId="0" xfId="3" applyFont="1" applyFill="1" applyBorder="1" applyProtection="1">
      <protection locked="0"/>
    </xf>
    <xf numFmtId="44" fontId="10" fillId="0" borderId="0" xfId="3" applyFont="1" applyProtection="1">
      <protection locked="0"/>
    </xf>
    <xf numFmtId="44" fontId="19" fillId="0" borderId="0" xfId="3" applyFont="1" applyFill="1" applyBorder="1" applyProtection="1">
      <protection locked="0"/>
    </xf>
    <xf numFmtId="44" fontId="19" fillId="0" borderId="0" xfId="3" applyFont="1" applyBorder="1" applyProtection="1">
      <protection locked="0"/>
    </xf>
    <xf numFmtId="44" fontId="10" fillId="0" borderId="0" xfId="3" applyFont="1" applyFill="1" applyProtection="1">
      <protection locked="0"/>
    </xf>
    <xf numFmtId="37" fontId="25" fillId="0" borderId="0" xfId="0" applyFont="1" applyProtection="1">
      <protection locked="0"/>
    </xf>
    <xf numFmtId="165" fontId="25" fillId="0" borderId="0" xfId="0" applyNumberFormat="1" applyFont="1" applyProtection="1">
      <protection locked="0"/>
    </xf>
    <xf numFmtId="37" fontId="25" fillId="0" borderId="0" xfId="0" applyFont="1" applyAlignment="1" applyProtection="1">
      <alignment horizontal="right"/>
      <protection locked="0"/>
    </xf>
    <xf numFmtId="37" fontId="10" fillId="1" borderId="0" xfId="0" applyFont="1" applyFill="1" applyProtection="1">
      <protection locked="0"/>
    </xf>
    <xf numFmtId="44" fontId="10" fillId="1" borderId="0" xfId="3" applyFont="1" applyFill="1" applyProtection="1">
      <protection locked="0"/>
    </xf>
    <xf numFmtId="37" fontId="10" fillId="0" borderId="5" xfId="0" applyFont="1" applyBorder="1" applyProtection="1">
      <protection locked="0"/>
    </xf>
    <xf numFmtId="37" fontId="10" fillId="0" borderId="7" xfId="0" applyFont="1" applyBorder="1" applyAlignment="1" applyProtection="1">
      <alignment wrapText="1"/>
      <protection locked="0"/>
    </xf>
    <xf numFmtId="37" fontId="10" fillId="4" borderId="3" xfId="0" applyFont="1" applyFill="1" applyBorder="1" applyProtection="1">
      <protection locked="0"/>
    </xf>
    <xf numFmtId="37" fontId="10" fillId="0" borderId="6" xfId="0" applyFont="1" applyBorder="1" applyProtection="1">
      <protection locked="0"/>
    </xf>
    <xf numFmtId="37" fontId="10" fillId="0" borderId="8" xfId="0" applyFont="1" applyBorder="1" applyProtection="1">
      <protection locked="0"/>
    </xf>
    <xf numFmtId="37" fontId="13" fillId="0" borderId="4" xfId="0" applyFont="1" applyBorder="1" applyAlignment="1" applyProtection="1">
      <alignment horizontal="left"/>
      <protection locked="0"/>
    </xf>
    <xf numFmtId="37" fontId="10" fillId="0" borderId="1" xfId="0" applyFont="1" applyBorder="1" applyAlignment="1" applyProtection="1">
      <alignment horizontal="center"/>
      <protection locked="0"/>
    </xf>
    <xf numFmtId="37" fontId="10" fillId="4" borderId="7" xfId="0" applyFont="1" applyFill="1" applyBorder="1" applyProtection="1">
      <protection locked="0"/>
    </xf>
    <xf numFmtId="37" fontId="10" fillId="4" borderId="8" xfId="0" applyFont="1" applyFill="1" applyBorder="1" applyProtection="1">
      <protection locked="0"/>
    </xf>
    <xf numFmtId="37" fontId="13" fillId="0" borderId="5" xfId="0" applyFont="1" applyBorder="1" applyProtection="1">
      <protection locked="0"/>
    </xf>
    <xf numFmtId="37" fontId="10" fillId="0" borderId="5" xfId="0" applyFont="1" applyBorder="1" applyAlignment="1" applyProtection="1">
      <alignment horizontal="right"/>
      <protection locked="0"/>
    </xf>
    <xf numFmtId="37" fontId="7" fillId="0" borderId="0" xfId="0" applyFont="1" applyAlignment="1" applyProtection="1">
      <alignment horizontal="right" wrapText="1"/>
      <protection locked="0"/>
    </xf>
    <xf numFmtId="37" fontId="13" fillId="0" borderId="0" xfId="0" applyFont="1" applyAlignment="1" applyProtection="1">
      <alignment horizontal="left"/>
      <protection locked="0"/>
    </xf>
    <xf numFmtId="37" fontId="10" fillId="0" borderId="25" xfId="0" applyFont="1" applyBorder="1"/>
    <xf numFmtId="37" fontId="10" fillId="0" borderId="1" xfId="0" applyFont="1" applyBorder="1"/>
    <xf numFmtId="37" fontId="10" fillId="0" borderId="3" xfId="0" applyFont="1" applyBorder="1"/>
    <xf numFmtId="10" fontId="7" fillId="0" borderId="0" xfId="1" applyNumberFormat="1" applyFont="1" applyProtection="1">
      <protection locked="0"/>
    </xf>
    <xf numFmtId="10" fontId="25" fillId="0" borderId="0" xfId="0" applyNumberFormat="1" applyFont="1" applyProtection="1">
      <protection locked="0"/>
    </xf>
    <xf numFmtId="10" fontId="7" fillId="3" borderId="0" xfId="1" applyNumberFormat="1" applyFont="1" applyFill="1" applyBorder="1" applyAlignment="1" applyProtection="1">
      <alignment horizontal="right"/>
    </xf>
    <xf numFmtId="9" fontId="7" fillId="4" borderId="0" xfId="1" applyFont="1" applyFill="1" applyProtection="1">
      <protection locked="0"/>
    </xf>
    <xf numFmtId="37" fontId="10" fillId="0" borderId="29" xfId="0" applyFont="1" applyBorder="1" applyProtection="1">
      <protection locked="0"/>
    </xf>
    <xf numFmtId="9" fontId="10" fillId="0" borderId="0" xfId="1" applyFont="1" applyFill="1" applyBorder="1" applyProtection="1">
      <protection locked="0"/>
    </xf>
    <xf numFmtId="37" fontId="10" fillId="4" borderId="24" xfId="0" applyFont="1" applyFill="1" applyBorder="1" applyProtection="1">
      <protection locked="0"/>
    </xf>
    <xf numFmtId="37" fontId="10" fillId="4" borderId="13" xfId="0" applyFont="1" applyFill="1" applyBorder="1" applyProtection="1">
      <protection locked="0"/>
    </xf>
    <xf numFmtId="0" fontId="10" fillId="0" borderId="0" xfId="0" applyNumberFormat="1" applyFont="1" applyProtection="1">
      <protection locked="0"/>
    </xf>
    <xf numFmtId="10" fontId="7" fillId="3" borderId="0" xfId="0" applyNumberFormat="1" applyFont="1" applyFill="1" applyAlignment="1">
      <alignment horizontal="right"/>
    </xf>
    <xf numFmtId="37" fontId="28" fillId="0" borderId="0" xfId="0" applyFont="1" applyAlignment="1" applyProtection="1">
      <alignment wrapText="1"/>
      <protection locked="0"/>
    </xf>
    <xf numFmtId="169" fontId="7" fillId="4" borderId="0" xfId="3" applyNumberFormat="1" applyFont="1" applyFill="1" applyBorder="1" applyProtection="1">
      <protection locked="0"/>
    </xf>
    <xf numFmtId="37" fontId="7" fillId="0" borderId="1" xfId="0" applyFont="1" applyBorder="1" applyAlignment="1" applyProtection="1">
      <alignment horizontal="right"/>
      <protection locked="0"/>
    </xf>
    <xf numFmtId="169" fontId="14" fillId="0" borderId="1" xfId="3" applyNumberFormat="1" applyFont="1" applyBorder="1" applyProtection="1">
      <protection locked="0"/>
    </xf>
    <xf numFmtId="37" fontId="7" fillId="0" borderId="1" xfId="0" applyFont="1" applyBorder="1" applyProtection="1">
      <protection locked="0"/>
    </xf>
    <xf numFmtId="37" fontId="7" fillId="4" borderId="0" xfId="0" quotePrefix="1" applyFont="1" applyFill="1" applyAlignment="1" applyProtection="1">
      <alignment horizontal="right"/>
      <protection locked="0"/>
    </xf>
    <xf numFmtId="10" fontId="7" fillId="0" borderId="0" xfId="0" applyNumberFormat="1" applyFont="1" applyAlignment="1">
      <alignment horizontal="right"/>
    </xf>
    <xf numFmtId="170" fontId="14" fillId="4" borderId="0" xfId="4" applyNumberFormat="1" applyFont="1" applyFill="1" applyAlignment="1" applyProtection="1">
      <alignment horizontal="right"/>
      <protection locked="0"/>
    </xf>
    <xf numFmtId="0" fontId="10" fillId="0" borderId="0" xfId="3" applyNumberFormat="1" applyFont="1" applyProtection="1"/>
    <xf numFmtId="169" fontId="10" fillId="0" borderId="0" xfId="3" applyNumberFormat="1" applyFont="1" applyProtection="1"/>
    <xf numFmtId="169" fontId="19" fillId="0" borderId="1" xfId="3" applyNumberFormat="1" applyFont="1" applyFill="1" applyBorder="1" applyProtection="1"/>
    <xf numFmtId="169" fontId="10" fillId="5" borderId="0" xfId="3" applyNumberFormat="1" applyFont="1" applyFill="1" applyProtection="1"/>
    <xf numFmtId="169" fontId="19" fillId="0" borderId="0" xfId="3" applyNumberFormat="1" applyFont="1" applyFill="1" applyProtection="1"/>
    <xf numFmtId="169" fontId="10" fillId="0" borderId="3" xfId="3" applyNumberFormat="1" applyFont="1" applyBorder="1" applyProtection="1"/>
    <xf numFmtId="9" fontId="20" fillId="0" borderId="0" xfId="1" applyFont="1" applyFill="1" applyBorder="1" applyAlignment="1" applyProtection="1">
      <alignment horizontal="center"/>
    </xf>
    <xf numFmtId="14" fontId="10" fillId="0" borderId="0" xfId="0" applyNumberFormat="1" applyFont="1"/>
    <xf numFmtId="37" fontId="18" fillId="0" borderId="16" xfId="0" applyFont="1" applyBorder="1"/>
    <xf numFmtId="169" fontId="10" fillId="0" borderId="0" xfId="3" applyNumberFormat="1" applyFont="1" applyFill="1" applyProtection="1"/>
    <xf numFmtId="169" fontId="20" fillId="0" borderId="0" xfId="3" applyNumberFormat="1" applyFont="1" applyFill="1" applyProtection="1"/>
    <xf numFmtId="169" fontId="10" fillId="0" borderId="0" xfId="3" applyNumberFormat="1" applyFont="1" applyFill="1" applyBorder="1" applyProtection="1"/>
    <xf numFmtId="169" fontId="19" fillId="0" borderId="28" xfId="3" applyNumberFormat="1" applyFont="1" applyFill="1" applyBorder="1" applyProtection="1"/>
    <xf numFmtId="169" fontId="10" fillId="0" borderId="28" xfId="3" applyNumberFormat="1" applyFont="1" applyFill="1" applyBorder="1" applyProtection="1"/>
    <xf numFmtId="169" fontId="19" fillId="0" borderId="2" xfId="3" applyNumberFormat="1" applyFont="1" applyFill="1" applyBorder="1" applyProtection="1"/>
    <xf numFmtId="37" fontId="10" fillId="0" borderId="0" xfId="0" applyFont="1" applyAlignment="1">
      <alignment horizontal="center" wrapText="1"/>
    </xf>
    <xf numFmtId="169" fontId="10" fillId="0" borderId="3" xfId="3" applyNumberFormat="1" applyFont="1" applyBorder="1" applyAlignment="1" applyProtection="1">
      <alignment horizontal="right" wrapText="1"/>
    </xf>
    <xf numFmtId="169" fontId="10" fillId="0" borderId="3" xfId="3" applyNumberFormat="1" applyFont="1" applyBorder="1" applyAlignment="1" applyProtection="1">
      <alignment wrapText="1"/>
    </xf>
    <xf numFmtId="169" fontId="10" fillId="0" borderId="2" xfId="3" applyNumberFormat="1" applyFont="1" applyFill="1" applyBorder="1" applyProtection="1"/>
    <xf numFmtId="10" fontId="7" fillId="0" borderId="1" xfId="0" applyNumberFormat="1" applyFont="1" applyBorder="1"/>
    <xf numFmtId="9" fontId="7" fillId="0" borderId="1" xfId="1" applyFont="1" applyFill="1" applyBorder="1" applyAlignment="1" applyProtection="1">
      <alignment horizontal="right"/>
    </xf>
    <xf numFmtId="169" fontId="14" fillId="0" borderId="0" xfId="3" applyNumberFormat="1" applyFont="1" applyProtection="1"/>
    <xf numFmtId="169" fontId="7" fillId="0" borderId="1" xfId="3" applyNumberFormat="1" applyFont="1" applyBorder="1" applyProtection="1"/>
    <xf numFmtId="169" fontId="7" fillId="0" borderId="0" xfId="3" applyNumberFormat="1" applyFont="1" applyProtection="1"/>
    <xf numFmtId="37" fontId="7" fillId="0" borderId="0" xfId="0" applyFont="1" applyAlignment="1">
      <alignment horizontal="right"/>
    </xf>
    <xf numFmtId="37" fontId="7" fillId="0" borderId="16" xfId="0" applyFont="1" applyBorder="1" applyAlignment="1">
      <alignment horizontal="right"/>
    </xf>
    <xf numFmtId="10" fontId="7" fillId="0" borderId="0" xfId="1" applyNumberFormat="1" applyFont="1" applyFill="1" applyAlignment="1" applyProtection="1">
      <alignment horizontal="right"/>
    </xf>
    <xf numFmtId="37" fontId="19" fillId="0" borderId="0" xfId="0" quotePrefix="1" applyFont="1" applyAlignment="1">
      <alignment horizontal="left"/>
    </xf>
    <xf numFmtId="169" fontId="10" fillId="1" borderId="0" xfId="3" applyNumberFormat="1" applyFont="1" applyFill="1" applyProtection="1"/>
    <xf numFmtId="169" fontId="19" fillId="0" borderId="1" xfId="3" applyNumberFormat="1" applyFont="1" applyBorder="1" applyProtection="1"/>
    <xf numFmtId="169" fontId="19" fillId="0" borderId="0" xfId="3" applyNumberFormat="1" applyFont="1" applyProtection="1"/>
    <xf numFmtId="169" fontId="13" fillId="0" borderId="0" xfId="3" applyNumberFormat="1" applyFont="1" applyProtection="1"/>
    <xf numFmtId="37" fontId="10" fillId="0" borderId="7" xfId="0" applyFont="1" applyBorder="1"/>
    <xf numFmtId="169" fontId="18" fillId="0" borderId="0" xfId="3" applyNumberFormat="1" applyFont="1" applyProtection="1"/>
    <xf numFmtId="1" fontId="18" fillId="0" borderId="0" xfId="0" applyNumberFormat="1" applyFont="1"/>
    <xf numFmtId="1" fontId="19" fillId="0" borderId="1" xfId="0" applyNumberFormat="1" applyFont="1" applyBorder="1"/>
    <xf numFmtId="170" fontId="10" fillId="0" borderId="11" xfId="4" applyNumberFormat="1" applyFont="1" applyFill="1" applyBorder="1" applyProtection="1"/>
    <xf numFmtId="170" fontId="12" fillId="0" borderId="0" xfId="4" applyNumberFormat="1" applyFont="1" applyProtection="1"/>
    <xf numFmtId="169" fontId="10" fillId="0" borderId="27" xfId="3" applyNumberFormat="1" applyFont="1" applyBorder="1" applyProtection="1"/>
    <xf numFmtId="169" fontId="10" fillId="0" borderId="18" xfId="3" applyNumberFormat="1" applyFont="1" applyBorder="1" applyProtection="1"/>
    <xf numFmtId="169" fontId="10" fillId="0" borderId="16" xfId="3" applyNumberFormat="1" applyFont="1" applyBorder="1" applyProtection="1"/>
    <xf numFmtId="169" fontId="10" fillId="0" borderId="20" xfId="3" applyNumberFormat="1" applyFont="1" applyBorder="1" applyProtection="1"/>
    <xf numFmtId="37" fontId="10" fillId="0" borderId="0" xfId="0" applyFont="1" applyAlignment="1">
      <alignment wrapText="1"/>
    </xf>
    <xf numFmtId="37" fontId="19" fillId="0" borderId="0" xfId="0" applyFont="1" applyAlignment="1">
      <alignment horizontal="center" wrapText="1"/>
    </xf>
    <xf numFmtId="37" fontId="19" fillId="0" borderId="0" xfId="0" applyFont="1" applyAlignment="1">
      <alignment horizontal="right" wrapText="1"/>
    </xf>
    <xf numFmtId="37" fontId="10" fillId="0" borderId="0" xfId="0" applyFont="1" applyAlignment="1">
      <alignment horizontal="right" wrapText="1"/>
    </xf>
    <xf numFmtId="10" fontId="19" fillId="0" borderId="0" xfId="0" applyNumberFormat="1" applyFont="1" applyAlignment="1">
      <alignment horizontal="right"/>
    </xf>
    <xf numFmtId="10" fontId="10" fillId="0" borderId="0" xfId="1" applyNumberFormat="1" applyFont="1" applyProtection="1"/>
    <xf numFmtId="37" fontId="12" fillId="0" borderId="0" xfId="0" applyFont="1"/>
    <xf numFmtId="37" fontId="19" fillId="0" borderId="2" xfId="0" applyFont="1" applyBorder="1"/>
    <xf numFmtId="164" fontId="19" fillId="0" borderId="2" xfId="0" applyNumberFormat="1" applyFont="1" applyBorder="1"/>
    <xf numFmtId="37" fontId="19" fillId="0" borderId="3" xfId="0" applyFont="1" applyBorder="1"/>
    <xf numFmtId="10" fontId="11" fillId="0" borderId="0" xfId="0" applyNumberFormat="1" applyFont="1"/>
    <xf numFmtId="44" fontId="10" fillId="4" borderId="0" xfId="3" applyFont="1" applyFill="1" applyProtection="1"/>
    <xf numFmtId="44" fontId="19" fillId="0" borderId="0" xfId="3" applyFont="1" applyFill="1" applyBorder="1" applyProtection="1"/>
    <xf numFmtId="44" fontId="19" fillId="0" borderId="1" xfId="3" applyFont="1" applyBorder="1" applyProtection="1"/>
    <xf numFmtId="44" fontId="10" fillId="0" borderId="0" xfId="3" applyFont="1" applyAlignment="1" applyProtection="1">
      <alignment horizontal="right"/>
    </xf>
    <xf numFmtId="37" fontId="18" fillId="0" borderId="0" xfId="0" applyFont="1" applyAlignment="1">
      <alignment horizontal="left"/>
    </xf>
    <xf numFmtId="44" fontId="19" fillId="0" borderId="0" xfId="3" applyFont="1" applyAlignment="1" applyProtection="1">
      <alignment horizontal="right"/>
    </xf>
    <xf numFmtId="44" fontId="10" fillId="1" borderId="0" xfId="3" applyFont="1" applyFill="1" applyProtection="1"/>
    <xf numFmtId="44" fontId="10" fillId="0" borderId="0" xfId="3" applyFont="1" applyProtection="1"/>
    <xf numFmtId="169" fontId="10" fillId="0" borderId="1" xfId="3" applyNumberFormat="1" applyFont="1" applyFill="1" applyBorder="1" applyProtection="1"/>
    <xf numFmtId="169" fontId="10" fillId="0" borderId="0" xfId="3" applyNumberFormat="1" applyFont="1" applyBorder="1" applyProtection="1">
      <protection locked="0"/>
    </xf>
    <xf numFmtId="169" fontId="10" fillId="0" borderId="0" xfId="3" applyNumberFormat="1" applyFont="1" applyBorder="1" applyProtection="1"/>
    <xf numFmtId="169" fontId="13" fillId="0" borderId="1" xfId="3" applyNumberFormat="1" applyFont="1" applyFill="1" applyBorder="1" applyProtection="1"/>
    <xf numFmtId="37" fontId="12" fillId="0" borderId="0" xfId="0" applyFont="1" applyAlignment="1" applyProtection="1">
      <alignment horizontal="center" wrapText="1"/>
      <protection locked="0"/>
    </xf>
    <xf numFmtId="37" fontId="20" fillId="0" borderId="0" xfId="0" applyFont="1" applyAlignment="1" applyProtection="1">
      <alignment horizontal="left"/>
      <protection locked="0"/>
    </xf>
    <xf numFmtId="14" fontId="19" fillId="0" borderId="30" xfId="0" applyNumberFormat="1" applyFont="1" applyBorder="1" applyProtection="1">
      <protection locked="0"/>
    </xf>
    <xf numFmtId="9" fontId="29" fillId="0" borderId="19" xfId="1" applyFont="1" applyFill="1" applyBorder="1" applyAlignment="1" applyProtection="1">
      <alignment horizontal="center"/>
    </xf>
    <xf numFmtId="37" fontId="19" fillId="0" borderId="19" xfId="0" applyFont="1" applyBorder="1" applyAlignment="1" applyProtection="1">
      <alignment horizontal="center" wrapText="1"/>
      <protection locked="0"/>
    </xf>
    <xf numFmtId="169" fontId="19" fillId="0" borderId="18" xfId="3" applyNumberFormat="1" applyFont="1" applyFill="1" applyBorder="1" applyProtection="1"/>
    <xf numFmtId="169" fontId="19" fillId="0" borderId="30" xfId="3" applyNumberFormat="1" applyFont="1" applyFill="1" applyBorder="1" applyProtection="1"/>
    <xf numFmtId="169" fontId="19" fillId="0" borderId="31" xfId="3" applyNumberFormat="1" applyFont="1" applyFill="1" applyBorder="1" applyProtection="1"/>
    <xf numFmtId="169" fontId="10" fillId="8" borderId="19" xfId="3" applyNumberFormat="1" applyFont="1" applyFill="1" applyBorder="1" applyProtection="1"/>
    <xf numFmtId="169" fontId="19" fillId="0" borderId="19" xfId="3" applyNumberFormat="1" applyFont="1" applyFill="1" applyBorder="1" applyProtection="1"/>
    <xf numFmtId="169" fontId="13" fillId="0" borderId="18" xfId="3" applyNumberFormat="1" applyFont="1" applyFill="1" applyBorder="1" applyProtection="1"/>
    <xf numFmtId="169" fontId="20" fillId="0" borderId="11" xfId="3" applyNumberFormat="1" applyFont="1" applyFill="1" applyBorder="1" applyProtection="1"/>
    <xf numFmtId="169" fontId="10" fillId="8" borderId="0" xfId="3" applyNumberFormat="1" applyFont="1" applyFill="1" applyProtection="1"/>
    <xf numFmtId="169" fontId="20" fillId="0" borderId="25" xfId="3" applyNumberFormat="1" applyFont="1" applyFill="1" applyBorder="1" applyProtection="1"/>
    <xf numFmtId="37" fontId="30" fillId="0" borderId="0" xfId="0" applyFont="1" applyProtection="1">
      <protection locked="0"/>
    </xf>
    <xf numFmtId="170" fontId="19" fillId="0" borderId="1" xfId="4" applyNumberFormat="1" applyFont="1" applyBorder="1" applyProtection="1"/>
    <xf numFmtId="37" fontId="10" fillId="8" borderId="0" xfId="0" applyFont="1" applyFill="1" applyAlignment="1" applyProtection="1">
      <alignment horizontal="center" wrapText="1"/>
      <protection locked="0"/>
    </xf>
    <xf numFmtId="37" fontId="10" fillId="8" borderId="0" xfId="0" applyFont="1" applyFill="1" applyAlignment="1" applyProtection="1">
      <alignment horizontal="center"/>
      <protection locked="0"/>
    </xf>
    <xf numFmtId="14" fontId="19" fillId="0" borderId="0" xfId="0" applyNumberFormat="1" applyFont="1" applyProtection="1">
      <protection locked="0"/>
    </xf>
    <xf numFmtId="169" fontId="10" fillId="1" borderId="0" xfId="3" applyNumberFormat="1" applyFont="1" applyFill="1" applyAlignment="1" applyProtection="1">
      <alignment wrapText="1"/>
    </xf>
    <xf numFmtId="37" fontId="10" fillId="0" borderId="1" xfId="0" applyFont="1" applyBorder="1" applyAlignment="1" applyProtection="1">
      <alignment horizontal="right"/>
      <protection locked="0"/>
    </xf>
    <xf numFmtId="169" fontId="10" fillId="8" borderId="1" xfId="3" applyNumberFormat="1" applyFont="1" applyFill="1" applyBorder="1" applyProtection="1"/>
    <xf numFmtId="9" fontId="10" fillId="0" borderId="0" xfId="1" applyFont="1" applyProtection="1"/>
    <xf numFmtId="37" fontId="10" fillId="8" borderId="1" xfId="0" applyFont="1" applyFill="1" applyBorder="1" applyProtection="1">
      <protection locked="0"/>
    </xf>
    <xf numFmtId="9" fontId="10" fillId="4" borderId="0" xfId="0" applyNumberFormat="1" applyFont="1" applyFill="1" applyProtection="1">
      <protection locked="0"/>
    </xf>
    <xf numFmtId="169" fontId="10" fillId="8" borderId="10" xfId="3" applyNumberFormat="1" applyFont="1" applyFill="1" applyBorder="1" applyProtection="1"/>
    <xf numFmtId="169" fontId="19" fillId="0" borderId="32" xfId="3" applyNumberFormat="1" applyFont="1" applyBorder="1" applyProtection="1"/>
    <xf numFmtId="37" fontId="10" fillId="0" borderId="9" xfId="0" applyFont="1" applyBorder="1" applyProtection="1">
      <protection locked="0"/>
    </xf>
    <xf numFmtId="37" fontId="10" fillId="0" borderId="33" xfId="0" applyFont="1" applyBorder="1" applyProtection="1">
      <protection locked="0"/>
    </xf>
    <xf numFmtId="37" fontId="10" fillId="0" borderId="34" xfId="0" applyFont="1" applyBorder="1" applyProtection="1">
      <protection locked="0"/>
    </xf>
    <xf numFmtId="37" fontId="30" fillId="9" borderId="9" xfId="0" applyFont="1" applyFill="1" applyBorder="1" applyProtection="1">
      <protection locked="0"/>
    </xf>
    <xf numFmtId="169" fontId="10" fillId="0" borderId="29" xfId="3" applyNumberFormat="1" applyFont="1" applyBorder="1" applyProtection="1"/>
    <xf numFmtId="9" fontId="10" fillId="4" borderId="29" xfId="1" applyFont="1" applyFill="1" applyBorder="1" applyProtection="1">
      <protection locked="0"/>
    </xf>
    <xf numFmtId="9" fontId="10" fillId="4" borderId="0" xfId="1" applyFont="1" applyFill="1" applyBorder="1" applyProtection="1">
      <protection locked="0"/>
    </xf>
    <xf numFmtId="37" fontId="30" fillId="4" borderId="9" xfId="0" applyFont="1" applyFill="1" applyBorder="1" applyProtection="1">
      <protection locked="0"/>
    </xf>
    <xf numFmtId="37" fontId="22" fillId="0" borderId="0" xfId="0" applyFont="1" applyAlignment="1">
      <alignment horizontal="left"/>
    </xf>
    <xf numFmtId="37" fontId="18" fillId="0" borderId="3" xfId="0" applyFont="1" applyBorder="1"/>
    <xf numFmtId="37" fontId="10" fillId="9" borderId="0" xfId="0" applyFont="1" applyFill="1"/>
    <xf numFmtId="37" fontId="19" fillId="9" borderId="0" xfId="0" applyFont="1" applyFill="1" applyAlignment="1">
      <alignment horizontal="right"/>
    </xf>
    <xf numFmtId="37" fontId="19" fillId="9" borderId="0" xfId="0" applyFont="1" applyFill="1" applyAlignment="1" applyProtection="1">
      <alignment horizontal="left"/>
      <protection locked="0"/>
    </xf>
    <xf numFmtId="37" fontId="19" fillId="9" borderId="0" xfId="0" applyFont="1" applyFill="1" applyAlignment="1">
      <alignment horizontal="left"/>
    </xf>
    <xf numFmtId="37" fontId="22" fillId="0" borderId="0" xfId="0" applyFont="1" applyAlignment="1" applyProtection="1">
      <alignment horizontal="center"/>
      <protection hidden="1"/>
    </xf>
    <xf numFmtId="37" fontId="22" fillId="0" borderId="0" xfId="0" applyFont="1" applyAlignment="1">
      <alignment horizontal="center"/>
    </xf>
    <xf numFmtId="37" fontId="10" fillId="0" borderId="0" xfId="0" applyFont="1" applyProtection="1">
      <protection hidden="1"/>
    </xf>
    <xf numFmtId="37" fontId="19" fillId="9" borderId="0" xfId="0" applyFont="1" applyFill="1" applyAlignment="1" applyProtection="1">
      <alignment horizontal="left"/>
      <protection locked="0" hidden="1"/>
    </xf>
    <xf numFmtId="37" fontId="19" fillId="9" borderId="0" xfId="0" applyFont="1" applyFill="1" applyAlignment="1" applyProtection="1">
      <alignment horizontal="right"/>
      <protection locked="0" hidden="1"/>
    </xf>
    <xf numFmtId="37" fontId="10" fillId="9" borderId="0" xfId="0" applyFont="1" applyFill="1" applyProtection="1">
      <protection hidden="1"/>
    </xf>
    <xf numFmtId="10" fontId="10" fillId="0" borderId="0" xfId="1" applyNumberFormat="1" applyFont="1" applyBorder="1" applyProtection="1"/>
    <xf numFmtId="37" fontId="19" fillId="0" borderId="0" xfId="0" applyFont="1" applyAlignment="1" applyProtection="1">
      <alignment horizontal="left"/>
      <protection hidden="1"/>
    </xf>
    <xf numFmtId="10" fontId="10" fillId="0" borderId="0" xfId="0" applyNumberFormat="1" applyFont="1" applyProtection="1">
      <protection hidden="1"/>
    </xf>
    <xf numFmtId="10" fontId="10" fillId="0" borderId="3" xfId="0" applyNumberFormat="1" applyFont="1" applyBorder="1"/>
    <xf numFmtId="10" fontId="10" fillId="0" borderId="8" xfId="0" applyNumberFormat="1" applyFont="1" applyBorder="1"/>
    <xf numFmtId="37" fontId="15" fillId="0" borderId="16" xfId="0" applyFont="1" applyBorder="1" applyProtection="1">
      <protection locked="0"/>
    </xf>
    <xf numFmtId="43" fontId="19" fillId="3" borderId="0" xfId="4" applyFont="1" applyFill="1" applyAlignment="1">
      <alignment horizontal="right"/>
    </xf>
    <xf numFmtId="3" fontId="10" fillId="4" borderId="11" xfId="0" applyNumberFormat="1" applyFont="1" applyFill="1" applyBorder="1" applyAlignment="1" applyProtection="1">
      <alignment horizontal="center"/>
      <protection locked="0"/>
    </xf>
    <xf numFmtId="37" fontId="18" fillId="0" borderId="0" xfId="0" applyFont="1"/>
    <xf numFmtId="9" fontId="33" fillId="0" borderId="0" xfId="1" applyFont="1" applyProtection="1"/>
    <xf numFmtId="37" fontId="15" fillId="0" borderId="0" xfId="0" applyFont="1" applyProtection="1">
      <protection locked="0"/>
    </xf>
    <xf numFmtId="169" fontId="10" fillId="4" borderId="6" xfId="3" applyNumberFormat="1" applyFont="1" applyFill="1" applyBorder="1" applyProtection="1">
      <protection locked="0"/>
    </xf>
    <xf numFmtId="37" fontId="20" fillId="0" borderId="0" xfId="0" applyFont="1" applyAlignment="1">
      <alignment horizontal="left"/>
    </xf>
    <xf numFmtId="37" fontId="20" fillId="0" borderId="3" xfId="0" applyFont="1" applyBorder="1" applyAlignment="1">
      <alignment horizontal="left"/>
    </xf>
    <xf numFmtId="37" fontId="20" fillId="0" borderId="1" xfId="0" applyFont="1" applyBorder="1" applyAlignment="1" applyProtection="1">
      <alignment horizontal="right"/>
      <protection locked="0"/>
    </xf>
    <xf numFmtId="169" fontId="10" fillId="8" borderId="0" xfId="3" applyNumberFormat="1" applyFont="1" applyFill="1" applyBorder="1" applyProtection="1"/>
    <xf numFmtId="169" fontId="20" fillId="0" borderId="1" xfId="3" applyNumberFormat="1" applyFont="1" applyFill="1" applyBorder="1" applyProtection="1"/>
    <xf numFmtId="169" fontId="19" fillId="0" borderId="0" xfId="3" applyNumberFormat="1" applyFont="1" applyBorder="1" applyProtection="1"/>
    <xf numFmtId="169" fontId="10" fillId="1" borderId="0" xfId="3" applyNumberFormat="1" applyFont="1" applyFill="1" applyAlignment="1" applyProtection="1">
      <alignment wrapText="1"/>
      <protection locked="0"/>
    </xf>
    <xf numFmtId="169" fontId="10" fillId="1" borderId="0" xfId="3" applyNumberFormat="1" applyFont="1" applyFill="1" applyProtection="1">
      <protection locked="0"/>
    </xf>
    <xf numFmtId="169" fontId="19" fillId="1" borderId="0" xfId="3" applyNumberFormat="1" applyFont="1" applyFill="1" applyBorder="1" applyProtection="1">
      <protection locked="0"/>
    </xf>
    <xf numFmtId="169" fontId="19" fillId="1" borderId="0" xfId="3" applyNumberFormat="1" applyFont="1" applyFill="1" applyProtection="1">
      <protection locked="0"/>
    </xf>
    <xf numFmtId="169" fontId="10" fillId="1" borderId="0" xfId="3" applyNumberFormat="1" applyFont="1" applyFill="1" applyBorder="1" applyProtection="1"/>
    <xf numFmtId="169" fontId="10" fillId="1" borderId="0" xfId="3" applyNumberFormat="1" applyFont="1" applyFill="1" applyBorder="1" applyProtection="1">
      <protection locked="0"/>
    </xf>
    <xf numFmtId="169" fontId="19" fillId="0" borderId="16" xfId="3" applyNumberFormat="1" applyFont="1" applyBorder="1" applyProtection="1"/>
    <xf numFmtId="169" fontId="19" fillId="0" borderId="9" xfId="3" applyNumberFormat="1" applyFont="1" applyBorder="1" applyProtection="1"/>
    <xf numFmtId="169" fontId="10" fillId="0" borderId="1" xfId="3" applyNumberFormat="1" applyFont="1" applyBorder="1" applyProtection="1">
      <protection locked="0"/>
    </xf>
    <xf numFmtId="170" fontId="19" fillId="0" borderId="1" xfId="4" applyNumberFormat="1" applyFont="1" applyBorder="1"/>
    <xf numFmtId="37" fontId="10" fillId="0" borderId="0" xfId="0" applyFont="1" applyAlignment="1" applyProtection="1">
      <alignment horizontal="right"/>
      <protection hidden="1"/>
    </xf>
    <xf numFmtId="37" fontId="34" fillId="0" borderId="0" xfId="0" applyFont="1" applyProtection="1">
      <protection locked="0"/>
    </xf>
    <xf numFmtId="37" fontId="16" fillId="0" borderId="0" xfId="0" applyFont="1" applyAlignment="1" applyProtection="1">
      <alignment horizontal="left"/>
      <protection locked="0"/>
    </xf>
    <xf numFmtId="37" fontId="22" fillId="0" borderId="0" xfId="0" applyFont="1" applyAlignment="1" applyProtection="1">
      <alignment horizontal="left"/>
      <protection locked="0"/>
    </xf>
    <xf numFmtId="49" fontId="19" fillId="4" borderId="3" xfId="0" applyNumberFormat="1" applyFont="1" applyFill="1" applyBorder="1" applyAlignment="1" applyProtection="1">
      <alignment horizontal="center"/>
      <protection locked="0"/>
    </xf>
    <xf numFmtId="49" fontId="10" fillId="4" borderId="3" xfId="0" applyNumberFormat="1" applyFont="1" applyFill="1" applyBorder="1" applyProtection="1">
      <protection locked="0"/>
    </xf>
    <xf numFmtId="0" fontId="10" fillId="0" borderId="0" xfId="3" applyNumberFormat="1" applyFont="1" applyBorder="1" applyProtection="1"/>
    <xf numFmtId="37" fontId="19" fillId="0" borderId="35" xfId="2" applyFont="1" applyBorder="1" applyAlignment="1" applyProtection="1">
      <alignment wrapText="1"/>
      <protection locked="0"/>
    </xf>
    <xf numFmtId="169" fontId="19" fillId="0" borderId="35" xfId="3" applyNumberFormat="1" applyFont="1" applyBorder="1" applyProtection="1">
      <protection locked="0"/>
    </xf>
    <xf numFmtId="169" fontId="19" fillId="0" borderId="35" xfId="3" applyNumberFormat="1" applyFont="1" applyBorder="1" applyProtection="1"/>
    <xf numFmtId="169" fontId="10" fillId="0" borderId="35" xfId="3" applyNumberFormat="1" applyFont="1" applyBorder="1" applyProtection="1"/>
    <xf numFmtId="37" fontId="19" fillId="0" borderId="35" xfId="0" applyFont="1" applyBorder="1" applyAlignment="1" applyProtection="1">
      <alignment horizontal="left"/>
      <protection locked="0"/>
    </xf>
    <xf numFmtId="37" fontId="18" fillId="0" borderId="0" xfId="2" applyFont="1" applyAlignment="1" applyProtection="1">
      <alignment horizontal="left"/>
      <protection locked="0"/>
    </xf>
    <xf numFmtId="37" fontId="19" fillId="0" borderId="35" xfId="2" applyFont="1" applyBorder="1" applyAlignment="1" applyProtection="1">
      <alignment horizontal="left"/>
      <protection locked="0"/>
    </xf>
    <xf numFmtId="37" fontId="13" fillId="0" borderId="0" xfId="0" applyFont="1" applyProtection="1">
      <protection locked="0"/>
    </xf>
    <xf numFmtId="172" fontId="7" fillId="4" borderId="0" xfId="0" applyNumberFormat="1" applyFont="1" applyFill="1" applyProtection="1">
      <protection locked="0"/>
    </xf>
    <xf numFmtId="10" fontId="7" fillId="9" borderId="0" xfId="0" applyNumberFormat="1" applyFont="1" applyFill="1" applyProtection="1">
      <protection locked="0"/>
    </xf>
    <xf numFmtId="37" fontId="14" fillId="9" borderId="0" xfId="0" applyFont="1" applyFill="1" applyAlignment="1" applyProtection="1">
      <alignment horizontal="right"/>
      <protection locked="0"/>
    </xf>
    <xf numFmtId="169" fontId="10" fillId="0" borderId="17" xfId="3" applyNumberFormat="1" applyFont="1" applyFill="1" applyBorder="1" applyProtection="1"/>
    <xf numFmtId="169" fontId="10" fillId="0" borderId="7" xfId="3" applyNumberFormat="1" applyFont="1" applyFill="1" applyBorder="1" applyProtection="1"/>
    <xf numFmtId="169" fontId="10" fillId="0" borderId="16" xfId="3" applyNumberFormat="1" applyFont="1" applyBorder="1" applyProtection="1">
      <protection locked="0"/>
    </xf>
    <xf numFmtId="10" fontId="7" fillId="3" borderId="0" xfId="1" applyNumberFormat="1" applyFont="1" applyFill="1" applyProtection="1"/>
    <xf numFmtId="9" fontId="10" fillId="0" borderId="5" xfId="1" applyFont="1" applyFill="1" applyBorder="1" applyProtection="1"/>
    <xf numFmtId="37" fontId="36" fillId="0" borderId="0" xfId="0" applyFont="1"/>
    <xf numFmtId="37" fontId="36" fillId="0" borderId="36" xfId="0" applyFont="1" applyBorder="1" applyAlignment="1">
      <alignment wrapText="1"/>
    </xf>
    <xf numFmtId="37" fontId="36" fillId="0" borderId="37" xfId="0" applyFont="1" applyBorder="1" applyProtection="1">
      <protection locked="0"/>
    </xf>
    <xf numFmtId="37" fontId="36" fillId="0" borderId="0" xfId="0" applyFont="1" applyAlignment="1">
      <alignment wrapText="1"/>
    </xf>
    <xf numFmtId="37" fontId="37" fillId="4" borderId="38" xfId="0" applyFont="1" applyFill="1" applyBorder="1" applyAlignment="1">
      <alignment vertical="center" wrapText="1"/>
    </xf>
    <xf numFmtId="37" fontId="25" fillId="4" borderId="39" xfId="0" applyFont="1" applyFill="1" applyBorder="1" applyAlignment="1">
      <alignment vertical="center" wrapText="1"/>
    </xf>
    <xf numFmtId="37" fontId="37" fillId="4" borderId="40" xfId="0" applyFont="1" applyFill="1" applyBorder="1" applyAlignment="1">
      <alignment horizontal="left" vertical="center" wrapText="1"/>
    </xf>
    <xf numFmtId="37" fontId="37" fillId="4" borderId="5" xfId="0" applyFont="1" applyFill="1" applyBorder="1" applyAlignment="1">
      <alignment vertical="center" wrapText="1"/>
    </xf>
    <xf numFmtId="37" fontId="37" fillId="4" borderId="6" xfId="0" applyFont="1" applyFill="1" applyBorder="1" applyAlignment="1">
      <alignment vertical="center" wrapText="1"/>
    </xf>
    <xf numFmtId="37" fontId="37" fillId="0" borderId="42" xfId="0" applyFont="1" applyBorder="1" applyAlignment="1">
      <alignment wrapText="1"/>
    </xf>
    <xf numFmtId="37" fontId="25" fillId="0" borderId="7" xfId="0" applyFont="1" applyBorder="1" applyAlignment="1">
      <alignment horizontal="right"/>
    </xf>
    <xf numFmtId="37" fontId="26" fillId="0" borderId="0" xfId="0" applyFont="1" applyAlignment="1">
      <alignment horizontal="center" vertical="center"/>
    </xf>
    <xf numFmtId="37" fontId="25" fillId="0" borderId="0" xfId="0" applyFont="1" applyAlignment="1">
      <alignment vertical="center"/>
    </xf>
    <xf numFmtId="37" fontId="25" fillId="0" borderId="43" xfId="0" applyFont="1" applyBorder="1" applyAlignment="1">
      <alignment vertical="center"/>
    </xf>
    <xf numFmtId="37" fontId="37" fillId="0" borderId="42" xfId="0" applyFont="1" applyBorder="1" applyAlignment="1">
      <alignment vertical="center" wrapText="1"/>
    </xf>
    <xf numFmtId="173" fontId="25" fillId="0" borderId="7" xfId="0" applyNumberFormat="1" applyFont="1" applyBorder="1" applyAlignment="1">
      <alignment vertical="center"/>
    </xf>
    <xf numFmtId="37" fontId="37" fillId="0" borderId="44" xfId="0" applyFont="1" applyBorder="1" applyAlignment="1">
      <alignment vertical="center" wrapText="1"/>
    </xf>
    <xf numFmtId="37" fontId="25" fillId="0" borderId="6" xfId="0" applyFont="1" applyBorder="1" applyAlignment="1">
      <alignment wrapText="1"/>
    </xf>
    <xf numFmtId="37" fontId="26" fillId="0" borderId="3" xfId="0" applyFont="1" applyBorder="1" applyAlignment="1">
      <alignment horizontal="center" vertical="center"/>
    </xf>
    <xf numFmtId="37" fontId="25" fillId="0" borderId="3" xfId="0" applyFont="1" applyBorder="1" applyAlignment="1">
      <alignment vertical="center"/>
    </xf>
    <xf numFmtId="37" fontId="25" fillId="0" borderId="45" xfId="0" applyFont="1" applyBorder="1" applyAlignment="1">
      <alignment vertical="center"/>
    </xf>
    <xf numFmtId="37" fontId="37" fillId="4" borderId="42" xfId="0" applyFont="1" applyFill="1" applyBorder="1" applyAlignment="1">
      <alignment vertical="center" wrapText="1"/>
    </xf>
    <xf numFmtId="173" fontId="25" fillId="4" borderId="7" xfId="0" applyNumberFormat="1" applyFont="1" applyFill="1" applyBorder="1" applyAlignment="1">
      <alignment vertical="center"/>
    </xf>
    <xf numFmtId="173" fontId="25" fillId="4" borderId="7" xfId="0" applyNumberFormat="1" applyFont="1" applyFill="1" applyBorder="1" applyAlignment="1">
      <alignment horizontal="right" vertical="center"/>
    </xf>
    <xf numFmtId="37" fontId="37" fillId="4" borderId="44" xfId="0" applyFont="1" applyFill="1" applyBorder="1" applyAlignment="1">
      <alignment vertical="center" wrapText="1"/>
    </xf>
    <xf numFmtId="173" fontId="25" fillId="4" borderId="8" xfId="0" applyNumberFormat="1" applyFont="1" applyFill="1" applyBorder="1" applyAlignment="1">
      <alignment horizontal="right" vertical="center"/>
    </xf>
    <xf numFmtId="37" fontId="37" fillId="0" borderId="46" xfId="0" applyFont="1" applyBorder="1" applyAlignment="1">
      <alignment vertical="center" wrapText="1"/>
    </xf>
    <xf numFmtId="37" fontId="37" fillId="0" borderId="4" xfId="0" applyFont="1" applyBorder="1" applyAlignment="1">
      <alignment vertical="center" wrapText="1"/>
    </xf>
    <xf numFmtId="0" fontId="37" fillId="0" borderId="42" xfId="0" applyNumberFormat="1" applyFont="1" applyBorder="1" applyAlignment="1">
      <alignment horizontal="right" vertical="center" wrapText="1"/>
    </xf>
    <xf numFmtId="37" fontId="37" fillId="0" borderId="5" xfId="0" applyFont="1" applyBorder="1" applyAlignment="1">
      <alignment vertical="center" wrapText="1"/>
    </xf>
    <xf numFmtId="37" fontId="25" fillId="0" borderId="0" xfId="0" applyFont="1" applyAlignment="1" applyProtection="1">
      <alignment horizontal="right" vertical="center"/>
      <protection locked="0"/>
    </xf>
    <xf numFmtId="37" fontId="25" fillId="0" borderId="43" xfId="0" applyFont="1" applyBorder="1" applyAlignment="1" applyProtection="1">
      <alignment horizontal="right" vertical="center"/>
      <protection locked="0"/>
    </xf>
    <xf numFmtId="37" fontId="39" fillId="0" borderId="5" xfId="0" applyFont="1" applyBorder="1" applyAlignment="1">
      <alignment vertical="center" wrapText="1"/>
    </xf>
    <xf numFmtId="37" fontId="37" fillId="0" borderId="3" xfId="0" applyFont="1" applyBorder="1" applyAlignment="1">
      <alignment vertical="center" wrapText="1"/>
    </xf>
    <xf numFmtId="37" fontId="25" fillId="0" borderId="3" xfId="0" applyFont="1" applyBorder="1" applyAlignment="1" applyProtection="1">
      <alignment horizontal="right" vertical="center"/>
      <protection locked="0"/>
    </xf>
    <xf numFmtId="37" fontId="25" fillId="0" borderId="45" xfId="0" applyFont="1" applyBorder="1" applyAlignment="1" applyProtection="1">
      <alignment horizontal="right" vertical="center"/>
      <protection locked="0"/>
    </xf>
    <xf numFmtId="37" fontId="37" fillId="4" borderId="0" xfId="0" applyFont="1" applyFill="1" applyAlignment="1">
      <alignment vertical="center" wrapText="1"/>
    </xf>
    <xf numFmtId="37" fontId="25" fillId="4" borderId="8" xfId="0" applyFont="1" applyFill="1" applyBorder="1" applyAlignment="1">
      <alignment horizontal="right" vertical="center"/>
    </xf>
    <xf numFmtId="37" fontId="37" fillId="4" borderId="3" xfId="0" applyFont="1" applyFill="1" applyBorder="1" applyAlignment="1">
      <alignment vertical="center" wrapText="1"/>
    </xf>
    <xf numFmtId="173" fontId="25" fillId="0" borderId="0" xfId="0" applyNumberFormat="1" applyFont="1" applyAlignment="1">
      <alignment horizontal="right"/>
    </xf>
    <xf numFmtId="37" fontId="38" fillId="0" borderId="0" xfId="0" applyFont="1" applyAlignment="1">
      <alignment wrapText="1"/>
    </xf>
    <xf numFmtId="37" fontId="38" fillId="0" borderId="0" xfId="0" applyFont="1" applyAlignment="1">
      <alignment horizontal="right"/>
    </xf>
    <xf numFmtId="37" fontId="37" fillId="4" borderId="46" xfId="0" applyFont="1" applyFill="1" applyBorder="1" applyAlignment="1">
      <alignment vertical="center" wrapText="1"/>
    </xf>
    <xf numFmtId="173" fontId="25" fillId="4" borderId="17" xfId="0" applyNumberFormat="1" applyFont="1" applyFill="1" applyBorder="1" applyAlignment="1">
      <alignment horizontal="right" vertical="center"/>
    </xf>
    <xf numFmtId="37" fontId="37" fillId="4" borderId="1" xfId="0" applyFont="1" applyFill="1" applyBorder="1" applyAlignment="1">
      <alignment vertical="center" wrapText="1"/>
    </xf>
    <xf numFmtId="37" fontId="36" fillId="0" borderId="0" xfId="0" applyFont="1" applyAlignment="1">
      <alignment vertical="center"/>
    </xf>
    <xf numFmtId="37" fontId="25" fillId="4" borderId="7" xfId="0" applyFont="1" applyFill="1" applyBorder="1" applyAlignment="1">
      <alignment horizontal="right" vertical="center"/>
    </xf>
    <xf numFmtId="37" fontId="37" fillId="0" borderId="49" xfId="0" applyFont="1" applyBorder="1" applyAlignment="1">
      <alignment vertical="center" wrapText="1"/>
    </xf>
    <xf numFmtId="173" fontId="25" fillId="0" borderId="25" xfId="0" applyNumberFormat="1" applyFont="1" applyBorder="1" applyAlignment="1">
      <alignment horizontal="right" vertical="center"/>
    </xf>
    <xf numFmtId="37" fontId="38" fillId="0" borderId="25" xfId="0" applyFont="1" applyBorder="1" applyAlignment="1">
      <alignment vertical="center" wrapText="1"/>
    </xf>
    <xf numFmtId="10" fontId="25" fillId="0" borderId="25" xfId="1" applyNumberFormat="1" applyFont="1" applyFill="1" applyBorder="1" applyAlignment="1">
      <alignment horizontal="left" vertical="center"/>
    </xf>
    <xf numFmtId="37" fontId="38" fillId="0" borderId="25" xfId="0" applyFont="1" applyBorder="1" applyAlignment="1">
      <alignment vertical="center"/>
    </xf>
    <xf numFmtId="0" fontId="25" fillId="0" borderId="48" xfId="1" applyNumberFormat="1" applyFont="1" applyFill="1" applyBorder="1" applyAlignment="1">
      <alignment horizontal="left" vertical="center"/>
    </xf>
    <xf numFmtId="173" fontId="25" fillId="4" borderId="0" xfId="0" applyNumberFormat="1" applyFont="1" applyFill="1" applyAlignment="1">
      <alignment horizontal="right" vertical="center"/>
    </xf>
    <xf numFmtId="37" fontId="38" fillId="4" borderId="0" xfId="0" applyFont="1" applyFill="1" applyAlignment="1">
      <alignment vertical="center" wrapText="1"/>
    </xf>
    <xf numFmtId="37" fontId="25" fillId="4" borderId="0" xfId="0" applyFont="1" applyFill="1" applyAlignment="1">
      <alignment vertical="center"/>
    </xf>
    <xf numFmtId="37" fontId="38" fillId="4" borderId="0" xfId="0" applyFont="1" applyFill="1" applyAlignment="1">
      <alignment vertical="center"/>
    </xf>
    <xf numFmtId="37" fontId="25" fillId="4" borderId="43" xfId="0" applyFont="1" applyFill="1" applyBorder="1" applyAlignment="1">
      <alignment vertical="center"/>
    </xf>
    <xf numFmtId="173" fontId="25" fillId="4" borderId="27" xfId="0" applyNumberFormat="1" applyFont="1" applyFill="1" applyBorder="1" applyAlignment="1">
      <alignment horizontal="right" vertical="center"/>
    </xf>
    <xf numFmtId="37" fontId="38" fillId="4" borderId="27" xfId="0" applyFont="1" applyFill="1" applyBorder="1" applyAlignment="1">
      <alignment vertical="center" wrapText="1"/>
    </xf>
    <xf numFmtId="10" fontId="25" fillId="4" borderId="27" xfId="1" applyNumberFormat="1" applyFont="1" applyFill="1" applyBorder="1" applyAlignment="1">
      <alignment horizontal="left" vertical="center"/>
    </xf>
    <xf numFmtId="37" fontId="38" fillId="4" borderId="27" xfId="0" applyFont="1" applyFill="1" applyBorder="1" applyAlignment="1">
      <alignment vertical="center"/>
    </xf>
    <xf numFmtId="37" fontId="25" fillId="4" borderId="51" xfId="0" applyFont="1" applyFill="1" applyBorder="1" applyAlignment="1">
      <alignment horizontal="left" vertical="center"/>
    </xf>
    <xf numFmtId="37" fontId="38" fillId="0" borderId="0" xfId="0" applyFont="1"/>
    <xf numFmtId="37" fontId="25" fillId="0" borderId="43" xfId="0" applyFont="1" applyBorder="1"/>
    <xf numFmtId="37" fontId="36" fillId="0" borderId="0" xfId="0" quotePrefix="1" applyFont="1" applyAlignment="1">
      <alignment wrapText="1"/>
    </xf>
    <xf numFmtId="37" fontId="25" fillId="0" borderId="42" xfId="0" applyFont="1" applyBorder="1" applyAlignment="1">
      <alignment vertical="center" wrapText="1"/>
    </xf>
    <xf numFmtId="10" fontId="25" fillId="0" borderId="0" xfId="1" applyNumberFormat="1" applyFont="1" applyBorder="1" applyAlignment="1">
      <alignment horizontal="right" vertical="center"/>
    </xf>
    <xf numFmtId="37" fontId="25" fillId="0" borderId="0" xfId="0" applyFont="1" applyAlignment="1">
      <alignment vertical="center" wrapText="1"/>
    </xf>
    <xf numFmtId="37" fontId="25" fillId="0" borderId="50" xfId="0" applyFont="1" applyBorder="1" applyAlignment="1">
      <alignment wrapText="1"/>
    </xf>
    <xf numFmtId="37" fontId="25" fillId="0" borderId="27" xfId="0" applyFont="1" applyBorder="1"/>
    <xf numFmtId="37" fontId="25" fillId="0" borderId="27" xfId="0" applyFont="1" applyBorder="1" applyAlignment="1">
      <alignment wrapText="1"/>
    </xf>
    <xf numFmtId="37" fontId="25" fillId="0" borderId="51" xfId="0" applyFont="1" applyBorder="1"/>
    <xf numFmtId="37" fontId="35" fillId="0" borderId="0" xfId="0" applyFont="1"/>
    <xf numFmtId="37" fontId="42" fillId="0" borderId="0" xfId="0" applyFont="1" applyAlignment="1">
      <alignment horizontal="left"/>
    </xf>
    <xf numFmtId="37" fontId="42" fillId="0" borderId="0" xfId="0" applyFont="1" applyAlignment="1">
      <alignment horizontal="left" vertical="center"/>
    </xf>
    <xf numFmtId="10" fontId="25" fillId="0" borderId="0" xfId="0" applyNumberFormat="1" applyFont="1" applyAlignment="1">
      <alignment vertical="center"/>
    </xf>
    <xf numFmtId="37" fontId="36" fillId="0" borderId="0" xfId="0" applyFont="1" applyAlignment="1">
      <alignment vertical="center" wrapText="1"/>
    </xf>
    <xf numFmtId="10" fontId="25" fillId="0" borderId="0" xfId="1" applyNumberFormat="1" applyFont="1" applyAlignment="1">
      <alignment horizontal="right"/>
    </xf>
    <xf numFmtId="37" fontId="25" fillId="0" borderId="0" xfId="0" applyFont="1" applyAlignment="1">
      <alignment horizontal="right"/>
    </xf>
    <xf numFmtId="37" fontId="25" fillId="10" borderId="38" xfId="0" applyFont="1" applyFill="1" applyBorder="1" applyAlignment="1">
      <alignment wrapText="1"/>
    </xf>
    <xf numFmtId="37" fontId="25" fillId="10" borderId="39" xfId="0" applyFont="1" applyFill="1" applyBorder="1" applyAlignment="1">
      <alignment horizontal="right"/>
    </xf>
    <xf numFmtId="37" fontId="25" fillId="10" borderId="39" xfId="0" applyFont="1" applyFill="1" applyBorder="1" applyAlignment="1">
      <alignment horizontal="right" wrapText="1"/>
    </xf>
    <xf numFmtId="37" fontId="25" fillId="10" borderId="41" xfId="0" applyFont="1" applyFill="1" applyBorder="1" applyAlignment="1">
      <alignment horizontal="right"/>
    </xf>
    <xf numFmtId="37" fontId="25" fillId="0" borderId="42" xfId="0" applyFont="1" applyBorder="1" applyAlignment="1">
      <alignment wrapText="1"/>
    </xf>
    <xf numFmtId="9" fontId="25" fillId="0" borderId="0" xfId="1" applyFont="1" applyBorder="1" applyAlignment="1">
      <alignment wrapText="1"/>
    </xf>
    <xf numFmtId="9" fontId="25" fillId="0" borderId="27" xfId="1" applyFont="1" applyBorder="1" applyAlignment="1">
      <alignment wrapText="1"/>
    </xf>
    <xf numFmtId="1" fontId="10" fillId="4" borderId="12" xfId="0" applyNumberFormat="1" applyFont="1" applyFill="1" applyBorder="1" applyProtection="1">
      <protection locked="0"/>
    </xf>
    <xf numFmtId="37" fontId="10" fillId="4" borderId="12" xfId="0" applyFont="1" applyFill="1" applyBorder="1" applyProtection="1">
      <protection locked="0"/>
    </xf>
    <xf numFmtId="168" fontId="19" fillId="0" borderId="16" xfId="0" applyNumberFormat="1" applyFont="1" applyBorder="1"/>
    <xf numFmtId="37" fontId="10" fillId="0" borderId="16" xfId="0" applyFont="1" applyBorder="1"/>
    <xf numFmtId="37" fontId="12" fillId="0" borderId="16" xfId="0" applyFont="1" applyBorder="1"/>
    <xf numFmtId="14" fontId="19" fillId="0" borderId="16" xfId="0" applyNumberFormat="1" applyFont="1" applyBorder="1"/>
    <xf numFmtId="167" fontId="10" fillId="0" borderId="0" xfId="0" applyNumberFormat="1" applyFont="1"/>
    <xf numFmtId="37" fontId="12" fillId="0" borderId="12" xfId="0" applyFont="1" applyBorder="1" applyAlignment="1">
      <alignment horizontal="center" wrapText="1"/>
    </xf>
    <xf numFmtId="9" fontId="12" fillId="7" borderId="15" xfId="1" applyFont="1" applyFill="1" applyBorder="1" applyProtection="1"/>
    <xf numFmtId="9" fontId="12" fillId="7" borderId="11" xfId="1" applyFont="1" applyFill="1" applyBorder="1" applyProtection="1"/>
    <xf numFmtId="9" fontId="12" fillId="7" borderId="14" xfId="1" applyFont="1" applyFill="1" applyBorder="1" applyAlignment="1" applyProtection="1">
      <alignment horizontal="right"/>
    </xf>
    <xf numFmtId="37" fontId="12" fillId="0" borderId="13" xfId="0" quotePrefix="1" applyFont="1" applyBorder="1" applyAlignment="1">
      <alignment horizontal="center"/>
    </xf>
    <xf numFmtId="9" fontId="12" fillId="0" borderId="13" xfId="1" applyFont="1" applyBorder="1" applyAlignment="1" applyProtection="1">
      <alignment horizontal="center" wrapText="1"/>
    </xf>
    <xf numFmtId="37" fontId="12" fillId="0" borderId="11" xfId="0" quotePrefix="1" applyFont="1" applyBorder="1" applyAlignment="1">
      <alignment horizontal="center"/>
    </xf>
    <xf numFmtId="9" fontId="12" fillId="0" borderId="11" xfId="1" quotePrefix="1" applyFont="1" applyBorder="1" applyAlignment="1" applyProtection="1">
      <alignment horizontal="center" wrapText="1"/>
    </xf>
    <xf numFmtId="37" fontId="19" fillId="0" borderId="0" xfId="0" applyFont="1" applyAlignment="1">
      <alignment horizontal="left" wrapText="1"/>
    </xf>
    <xf numFmtId="37" fontId="19" fillId="0" borderId="0" xfId="0" applyFont="1" applyAlignment="1">
      <alignment horizontal="center"/>
    </xf>
    <xf numFmtId="37" fontId="19" fillId="0" borderId="3" xfId="0" applyFont="1" applyBorder="1" applyAlignment="1">
      <alignment horizontal="left"/>
    </xf>
    <xf numFmtId="37" fontId="10" fillId="0" borderId="0" xfId="0" applyFont="1" applyAlignment="1">
      <alignment horizontal="center"/>
    </xf>
    <xf numFmtId="37" fontId="23" fillId="0" borderId="0" xfId="0" applyFont="1" applyAlignment="1">
      <alignment horizontal="center"/>
    </xf>
    <xf numFmtId="170" fontId="10" fillId="0" borderId="3" xfId="4" applyNumberFormat="1" applyFont="1" applyBorder="1" applyProtection="1"/>
    <xf numFmtId="1" fontId="19" fillId="0" borderId="0" xfId="0" applyNumberFormat="1" applyFont="1"/>
    <xf numFmtId="37" fontId="20" fillId="0" borderId="0" xfId="0" applyFont="1" applyAlignment="1">
      <alignment horizontal="right"/>
    </xf>
    <xf numFmtId="37" fontId="23" fillId="0" borderId="0" xfId="0" applyFont="1" applyAlignment="1">
      <alignment horizontal="left"/>
    </xf>
    <xf numFmtId="37" fontId="30" fillId="0" borderId="0" xfId="0" applyFont="1" applyAlignment="1">
      <alignment wrapText="1"/>
    </xf>
    <xf numFmtId="37" fontId="30" fillId="9" borderId="29" xfId="0" applyFont="1" applyFill="1" applyBorder="1"/>
    <xf numFmtId="37" fontId="30" fillId="0" borderId="0" xfId="0" applyFont="1"/>
    <xf numFmtId="37" fontId="10" fillId="0" borderId="29" xfId="0" applyFont="1" applyBorder="1"/>
    <xf numFmtId="37" fontId="10" fillId="0" borderId="4" xfId="0" applyFont="1" applyBorder="1" applyAlignment="1">
      <alignment horizontal="left"/>
    </xf>
    <xf numFmtId="37" fontId="10" fillId="0" borderId="5" xfId="0" applyFont="1" applyBorder="1"/>
    <xf numFmtId="37" fontId="10" fillId="0" borderId="6" xfId="0" applyFont="1" applyBorder="1"/>
    <xf numFmtId="0" fontId="25" fillId="0" borderId="7" xfId="0" applyNumberFormat="1" applyFont="1" applyBorder="1" applyAlignment="1">
      <alignment horizontal="right" vertical="center"/>
    </xf>
    <xf numFmtId="0" fontId="25" fillId="0" borderId="3" xfId="0" applyNumberFormat="1" applyFont="1" applyBorder="1" applyAlignment="1">
      <alignment horizontal="right" vertical="center"/>
    </xf>
    <xf numFmtId="37" fontId="19" fillId="0" borderId="5" xfId="0" applyFont="1" applyBorder="1" applyAlignment="1">
      <alignment horizontal="left"/>
    </xf>
    <xf numFmtId="37" fontId="44" fillId="0" borderId="0" xfId="0" applyFont="1" applyAlignment="1">
      <alignment wrapText="1"/>
    </xf>
    <xf numFmtId="37" fontId="24" fillId="0" borderId="0" xfId="0" applyFont="1" applyAlignment="1">
      <alignment wrapText="1"/>
    </xf>
    <xf numFmtId="37" fontId="30" fillId="10" borderId="0" xfId="0" applyFont="1" applyFill="1" applyAlignment="1">
      <alignment wrapText="1"/>
    </xf>
    <xf numFmtId="37" fontId="30" fillId="10" borderId="0" xfId="0" applyFont="1" applyFill="1" applyAlignment="1" applyProtection="1">
      <alignment wrapText="1"/>
      <protection locked="0"/>
    </xf>
    <xf numFmtId="9" fontId="10" fillId="0" borderId="0" xfId="1" applyFont="1" applyProtection="1">
      <protection locked="0"/>
    </xf>
    <xf numFmtId="37" fontId="45" fillId="0" borderId="0" xfId="0" applyFont="1"/>
    <xf numFmtId="10" fontId="10" fillId="0" borderId="0" xfId="1" applyNumberFormat="1" applyFont="1"/>
    <xf numFmtId="44" fontId="19" fillId="0" borderId="0" xfId="3" applyFont="1" applyBorder="1" applyProtection="1"/>
    <xf numFmtId="44" fontId="10" fillId="0" borderId="0" xfId="3" applyFont="1" applyBorder="1" applyProtection="1"/>
    <xf numFmtId="165" fontId="25" fillId="0" borderId="0" xfId="0" applyNumberFormat="1" applyFont="1" applyAlignment="1" applyProtection="1">
      <alignment horizontal="right"/>
      <protection locked="0"/>
    </xf>
    <xf numFmtId="37" fontId="10" fillId="0" borderId="19" xfId="0" applyFont="1" applyBorder="1"/>
    <xf numFmtId="169" fontId="10" fillId="0" borderId="19" xfId="3" applyNumberFormat="1" applyFont="1" applyFill="1" applyBorder="1" applyProtection="1"/>
    <xf numFmtId="0" fontId="10" fillId="0" borderId="3" xfId="0" applyNumberFormat="1" applyFont="1" applyBorder="1"/>
    <xf numFmtId="37" fontId="12" fillId="9" borderId="0" xfId="0" applyFont="1" applyFill="1" applyProtection="1">
      <protection locked="0"/>
    </xf>
    <xf numFmtId="9" fontId="10" fillId="9" borderId="0" xfId="1" applyFont="1" applyFill="1" applyAlignment="1" applyProtection="1">
      <alignment horizontal="right"/>
    </xf>
    <xf numFmtId="10" fontId="12" fillId="9" borderId="0" xfId="1" applyNumberFormat="1" applyFont="1" applyFill="1" applyAlignment="1" applyProtection="1">
      <alignment horizontal="right"/>
    </xf>
    <xf numFmtId="37" fontId="12" fillId="9" borderId="11" xfId="0" applyFont="1" applyFill="1" applyBorder="1" applyAlignment="1" applyProtection="1">
      <alignment horizontal="center" vertical="center" textRotation="90" wrapText="1"/>
      <protection locked="0"/>
    </xf>
    <xf numFmtId="169" fontId="10" fillId="0" borderId="8" xfId="3" applyNumberFormat="1" applyFont="1" applyFill="1" applyBorder="1" applyProtection="1"/>
    <xf numFmtId="44" fontId="10" fillId="0" borderId="7" xfId="3" applyFont="1" applyFill="1" applyBorder="1" applyProtection="1"/>
    <xf numFmtId="170" fontId="12" fillId="9" borderId="0" xfId="4" applyNumberFormat="1" applyFont="1" applyFill="1" applyAlignment="1" applyProtection="1">
      <alignment vertical="center" textRotation="90" wrapText="1"/>
      <protection locked="0"/>
    </xf>
    <xf numFmtId="170" fontId="10" fillId="9" borderId="0" xfId="4" applyNumberFormat="1" applyFont="1" applyFill="1"/>
    <xf numFmtId="170" fontId="10" fillId="9" borderId="0" xfId="4" applyNumberFormat="1" applyFont="1" applyFill="1" applyProtection="1">
      <protection locked="0"/>
    </xf>
    <xf numFmtId="10" fontId="10" fillId="9" borderId="0" xfId="0" applyNumberFormat="1" applyFont="1" applyFill="1"/>
    <xf numFmtId="173" fontId="25" fillId="4" borderId="0" xfId="3" applyNumberFormat="1" applyFont="1" applyFill="1" applyProtection="1"/>
    <xf numFmtId="165" fontId="25" fillId="0" borderId="0" xfId="0" applyNumberFormat="1" applyFont="1" applyAlignment="1">
      <alignment horizontal="right"/>
    </xf>
    <xf numFmtId="10" fontId="7" fillId="0" borderId="16" xfId="1" applyNumberFormat="1" applyFont="1" applyFill="1" applyBorder="1" applyProtection="1">
      <protection locked="0"/>
    </xf>
    <xf numFmtId="37" fontId="13" fillId="0" borderId="0" xfId="0" applyFont="1" applyAlignment="1">
      <alignment horizontal="center" wrapText="1"/>
    </xf>
    <xf numFmtId="169" fontId="10" fillId="0" borderId="3" xfId="0" applyNumberFormat="1" applyFont="1" applyBorder="1"/>
    <xf numFmtId="169" fontId="10" fillId="3" borderId="0" xfId="3" applyNumberFormat="1" applyFont="1" applyFill="1" applyProtection="1">
      <protection locked="0"/>
    </xf>
    <xf numFmtId="169" fontId="10" fillId="4" borderId="14" xfId="3" applyNumberFormat="1" applyFont="1" applyFill="1" applyBorder="1" applyProtection="1">
      <protection locked="0"/>
    </xf>
    <xf numFmtId="37" fontId="12" fillId="0" borderId="11" xfId="0" applyFont="1" applyBorder="1" applyAlignment="1">
      <alignment horizontal="center" wrapText="1"/>
    </xf>
    <xf numFmtId="37" fontId="10" fillId="0" borderId="11" xfId="0" applyFont="1" applyBorder="1"/>
    <xf numFmtId="37" fontId="10" fillId="0" borderId="15" xfId="0" applyFont="1" applyBorder="1"/>
    <xf numFmtId="37" fontId="10" fillId="0" borderId="11" xfId="0" applyFont="1" applyBorder="1" applyAlignment="1">
      <alignment vertical="top" wrapText="1"/>
    </xf>
    <xf numFmtId="0" fontId="19" fillId="0" borderId="35" xfId="3" applyNumberFormat="1" applyFont="1" applyBorder="1" applyProtection="1"/>
    <xf numFmtId="169" fontId="12" fillId="2" borderId="0" xfId="3" applyNumberFormat="1" applyFont="1" applyFill="1" applyProtection="1"/>
    <xf numFmtId="169" fontId="10" fillId="2" borderId="0" xfId="3" applyNumberFormat="1" applyFont="1" applyFill="1" applyProtection="1"/>
    <xf numFmtId="37" fontId="10" fillId="8" borderId="0" xfId="0" applyFont="1" applyFill="1" applyAlignment="1">
      <alignment horizontal="right"/>
    </xf>
    <xf numFmtId="37" fontId="19" fillId="4" borderId="0" xfId="0" applyFont="1" applyFill="1" applyAlignment="1" applyProtection="1">
      <alignment horizontal="left"/>
      <protection locked="0"/>
    </xf>
    <xf numFmtId="170" fontId="10" fillId="8" borderId="0" xfId="4" applyNumberFormat="1" applyFont="1" applyFill="1"/>
    <xf numFmtId="170" fontId="10" fillId="8" borderId="3" xfId="4" applyNumberFormat="1" applyFont="1" applyFill="1" applyBorder="1" applyProtection="1"/>
    <xf numFmtId="43" fontId="10" fillId="0" borderId="1" xfId="4" applyFont="1" applyBorder="1"/>
    <xf numFmtId="43" fontId="10" fillId="0" borderId="0" xfId="4" applyFont="1"/>
    <xf numFmtId="37" fontId="14" fillId="0" borderId="0" xfId="0" applyFont="1" applyAlignment="1" applyProtection="1">
      <alignment horizontal="right"/>
      <protection locked="0"/>
    </xf>
    <xf numFmtId="37" fontId="7" fillId="0" borderId="0" xfId="0" applyFont="1" applyAlignment="1" applyProtection="1">
      <alignment horizontal="right"/>
      <protection locked="0"/>
    </xf>
    <xf numFmtId="14" fontId="23" fillId="0" borderId="2" xfId="0" applyNumberFormat="1" applyFont="1" applyBorder="1" applyAlignment="1" applyProtection="1">
      <alignment horizontal="center"/>
      <protection locked="0"/>
    </xf>
    <xf numFmtId="37" fontId="30" fillId="0" borderId="2" xfId="0" applyFont="1" applyBorder="1" applyAlignment="1" applyProtection="1">
      <alignment horizontal="center"/>
      <protection locked="0"/>
    </xf>
    <xf numFmtId="37" fontId="12" fillId="0" borderId="5" xfId="0" applyFont="1" applyBorder="1" applyAlignment="1">
      <alignment horizontal="right" vertical="top"/>
    </xf>
    <xf numFmtId="37" fontId="12" fillId="0" borderId="0" xfId="0" applyFont="1" applyAlignment="1">
      <alignment horizontal="right" vertical="top"/>
    </xf>
    <xf numFmtId="37" fontId="10" fillId="0" borderId="0" xfId="0" applyFont="1" applyAlignment="1" applyProtection="1">
      <alignment horizontal="center" wrapText="1"/>
      <protection locked="0"/>
    </xf>
    <xf numFmtId="37" fontId="12" fillId="0" borderId="0" xfId="0" applyFont="1" applyAlignment="1" applyProtection="1">
      <alignment horizontal="center" vertical="center" wrapText="1"/>
      <protection locked="0"/>
    </xf>
    <xf numFmtId="37" fontId="10" fillId="0" borderId="0" xfId="0" applyFont="1" applyAlignment="1" applyProtection="1">
      <alignment horizontal="center" vertical="center" wrapText="1"/>
      <protection locked="0"/>
    </xf>
    <xf numFmtId="37" fontId="12" fillId="0" borderId="7" xfId="0" applyFont="1" applyBorder="1" applyAlignment="1" applyProtection="1">
      <alignment horizontal="center" vertical="center" wrapText="1"/>
      <protection locked="0"/>
    </xf>
    <xf numFmtId="37" fontId="10" fillId="0" borderId="0" xfId="0" applyFont="1" applyAlignment="1" applyProtection="1">
      <alignment horizontal="center"/>
      <protection locked="0"/>
    </xf>
    <xf numFmtId="37" fontId="10" fillId="0" borderId="0" xfId="0" applyFont="1" applyAlignment="1" applyProtection="1">
      <alignment horizontal="right" textRotation="89"/>
      <protection locked="0"/>
    </xf>
    <xf numFmtId="37" fontId="12" fillId="0" borderId="20" xfId="0" applyFont="1" applyBorder="1" applyAlignment="1">
      <alignment horizontal="center" vertical="center" textRotation="90" wrapText="1"/>
    </xf>
    <xf numFmtId="37" fontId="12" fillId="0" borderId="11" xfId="0" applyFont="1" applyBorder="1" applyAlignment="1">
      <alignment horizontal="center" vertical="center" textRotation="90" wrapText="1"/>
    </xf>
    <xf numFmtId="37" fontId="12" fillId="0" borderId="18" xfId="0" applyFont="1" applyBorder="1" applyAlignment="1">
      <alignment horizontal="center" vertical="center" textRotation="90" wrapText="1"/>
    </xf>
    <xf numFmtId="37" fontId="43" fillId="0" borderId="18" xfId="0" applyFont="1" applyBorder="1" applyAlignment="1" applyProtection="1">
      <alignment horizontal="center" vertical="center" textRotation="90" wrapText="1"/>
      <protection locked="0"/>
    </xf>
    <xf numFmtId="37" fontId="43" fillId="0" borderId="20" xfId="0" applyFont="1" applyBorder="1" applyAlignment="1" applyProtection="1">
      <alignment horizontal="center" vertical="center" textRotation="90" wrapText="1"/>
      <protection locked="0"/>
    </xf>
    <xf numFmtId="37" fontId="12" fillId="0" borderId="24" xfId="0" applyFont="1" applyBorder="1" applyAlignment="1">
      <alignment horizontal="center" wrapText="1"/>
    </xf>
    <xf numFmtId="37" fontId="12" fillId="0" borderId="25" xfId="0" applyFont="1" applyBorder="1" applyAlignment="1">
      <alignment horizontal="center" wrapText="1"/>
    </xf>
    <xf numFmtId="37" fontId="12" fillId="0" borderId="26" xfId="0" applyFont="1" applyBorder="1" applyAlignment="1">
      <alignment horizontal="center" wrapText="1"/>
    </xf>
    <xf numFmtId="37" fontId="12" fillId="0" borderId="11" xfId="0" applyFont="1" applyBorder="1" applyAlignment="1">
      <alignment horizontal="center" vertical="center" wrapText="1"/>
    </xf>
    <xf numFmtId="37" fontId="12" fillId="0" borderId="14" xfId="0" applyFont="1" applyBorder="1" applyAlignment="1">
      <alignment horizontal="center" vertical="center" wrapText="1"/>
    </xf>
    <xf numFmtId="37" fontId="12" fillId="0" borderId="20" xfId="0" applyFont="1" applyBorder="1" applyAlignment="1">
      <alignment horizontal="center" vertical="center" wrapText="1"/>
    </xf>
    <xf numFmtId="37" fontId="10" fillId="0" borderId="25" xfId="0" applyFont="1" applyBorder="1" applyAlignment="1">
      <alignment horizontal="center" wrapText="1"/>
    </xf>
    <xf numFmtId="37" fontId="10" fillId="0" borderId="13" xfId="0" applyFont="1" applyBorder="1" applyAlignment="1">
      <alignment horizontal="center" wrapText="1"/>
    </xf>
    <xf numFmtId="37" fontId="12" fillId="0" borderId="6" xfId="0" applyFont="1" applyBorder="1" applyAlignment="1">
      <alignment horizontal="center" wrapText="1"/>
    </xf>
    <xf numFmtId="37" fontId="12" fillId="0" borderId="3" xfId="0" applyFont="1" applyBorder="1" applyAlignment="1">
      <alignment horizontal="center" wrapText="1"/>
    </xf>
    <xf numFmtId="37" fontId="12" fillId="0" borderId="13" xfId="0" applyFont="1" applyBorder="1" applyAlignment="1">
      <alignment horizontal="center" vertical="center" wrapText="1"/>
    </xf>
    <xf numFmtId="37" fontId="12" fillId="0" borderId="11" xfId="0" applyFont="1" applyBorder="1" applyAlignment="1">
      <alignment horizontal="center" vertical="center"/>
    </xf>
    <xf numFmtId="37" fontId="12" fillId="0" borderId="14" xfId="0" applyFont="1" applyBorder="1" applyAlignment="1">
      <alignment horizontal="center" vertical="center" textRotation="90" wrapText="1"/>
    </xf>
    <xf numFmtId="37" fontId="12" fillId="0" borderId="22" xfId="0" applyFont="1" applyBorder="1" applyAlignment="1">
      <alignment horizontal="center" vertical="center" wrapText="1"/>
    </xf>
    <xf numFmtId="37" fontId="12" fillId="0" borderId="23" xfId="0" applyFont="1" applyBorder="1" applyAlignment="1">
      <alignment horizontal="center" vertical="center" wrapText="1"/>
    </xf>
    <xf numFmtId="37" fontId="12" fillId="0" borderId="15" xfId="0" applyFont="1" applyBorder="1" applyAlignment="1">
      <alignment horizontal="center" vertical="center" wrapText="1"/>
    </xf>
    <xf numFmtId="37" fontId="31" fillId="9" borderId="0" xfId="0" applyFont="1" applyFill="1" applyAlignment="1" applyProtection="1">
      <alignment horizontal="center"/>
      <protection locked="0"/>
    </xf>
    <xf numFmtId="37" fontId="10" fillId="0" borderId="0" xfId="0" applyFont="1" applyAlignment="1" applyProtection="1">
      <alignment horizontal="left"/>
      <protection locked="0"/>
    </xf>
    <xf numFmtId="37" fontId="10" fillId="0" borderId="0" xfId="0" applyFont="1" applyProtection="1">
      <protection locked="0"/>
    </xf>
    <xf numFmtId="37" fontId="10" fillId="0" borderId="0" xfId="0" applyFont="1" applyAlignment="1" applyProtection="1">
      <alignment wrapText="1"/>
      <protection locked="0"/>
    </xf>
    <xf numFmtId="37" fontId="13" fillId="0" borderId="0" xfId="0" applyFont="1" applyAlignment="1" applyProtection="1">
      <alignment horizontal="left" wrapText="1"/>
      <protection locked="0"/>
    </xf>
    <xf numFmtId="37" fontId="10" fillId="0" borderId="3" xfId="0" applyFont="1" applyBorder="1" applyAlignment="1" applyProtection="1">
      <alignment horizontal="left"/>
      <protection locked="0"/>
    </xf>
    <xf numFmtId="37" fontId="10" fillId="6" borderId="0" xfId="0" applyFont="1" applyFill="1" applyAlignment="1" applyProtection="1">
      <alignment horizontal="center"/>
      <protection locked="0"/>
    </xf>
    <xf numFmtId="10" fontId="25" fillId="0" borderId="0" xfId="1" applyNumberFormat="1" applyFont="1" applyBorder="1" applyAlignment="1">
      <alignment horizontal="right" vertical="center"/>
    </xf>
    <xf numFmtId="10" fontId="25" fillId="0" borderId="43" xfId="1" applyNumberFormat="1" applyFont="1" applyBorder="1" applyAlignment="1">
      <alignment horizontal="right" vertical="center"/>
    </xf>
    <xf numFmtId="37" fontId="37" fillId="4" borderId="42" xfId="0" applyFont="1" applyFill="1" applyBorder="1" applyAlignment="1">
      <alignment vertical="center" wrapText="1"/>
    </xf>
    <xf numFmtId="37" fontId="37" fillId="4" borderId="50" xfId="0" applyFont="1" applyFill="1" applyBorder="1" applyAlignment="1">
      <alignment vertical="center" wrapText="1"/>
    </xf>
    <xf numFmtId="10" fontId="25" fillId="0" borderId="0" xfId="1" applyNumberFormat="1" applyFont="1" applyAlignment="1">
      <alignment horizontal="right" vertical="center"/>
    </xf>
    <xf numFmtId="37" fontId="37" fillId="0" borderId="46" xfId="0" applyFont="1" applyBorder="1" applyAlignment="1">
      <alignment horizontal="left" vertical="center" wrapText="1"/>
    </xf>
    <xf numFmtId="37" fontId="37" fillId="0" borderId="42" xfId="0" applyFont="1" applyBorder="1" applyAlignment="1">
      <alignment horizontal="left" vertical="center" wrapText="1"/>
    </xf>
    <xf numFmtId="173" fontId="25" fillId="0" borderId="1" xfId="0" applyNumberFormat="1" applyFont="1" applyBorder="1" applyAlignment="1">
      <alignment horizontal="right" vertical="center"/>
    </xf>
    <xf numFmtId="173" fontId="25" fillId="0" borderId="0" xfId="0" applyNumberFormat="1" applyFont="1" applyAlignment="1">
      <alignment horizontal="right" vertical="center"/>
    </xf>
    <xf numFmtId="10" fontId="38" fillId="0" borderId="1" xfId="1" applyNumberFormat="1" applyFont="1" applyFill="1" applyBorder="1" applyAlignment="1">
      <alignment horizontal="left" vertical="center" wrapText="1"/>
    </xf>
    <xf numFmtId="10" fontId="38" fillId="0" borderId="0" xfId="1" applyNumberFormat="1" applyFont="1" applyFill="1" applyBorder="1" applyAlignment="1">
      <alignment horizontal="left" vertical="center" wrapText="1"/>
    </xf>
    <xf numFmtId="10" fontId="25" fillId="0" borderId="1" xfId="1" applyNumberFormat="1" applyFont="1" applyFill="1" applyBorder="1" applyAlignment="1">
      <alignment horizontal="left" vertical="center"/>
    </xf>
    <xf numFmtId="10" fontId="25" fillId="0" borderId="0" xfId="1" applyNumberFormat="1" applyFont="1" applyFill="1" applyBorder="1" applyAlignment="1">
      <alignment horizontal="left" vertical="center"/>
    </xf>
    <xf numFmtId="37" fontId="38" fillId="0" borderId="1" xfId="0" applyFont="1" applyBorder="1" applyAlignment="1">
      <alignment horizontal="left" vertical="center"/>
    </xf>
    <xf numFmtId="37" fontId="38" fillId="0" borderId="0" xfId="0" applyFont="1" applyAlignment="1">
      <alignment horizontal="left" vertical="center"/>
    </xf>
    <xf numFmtId="0" fontId="25" fillId="0" borderId="47" xfId="1" applyNumberFormat="1" applyFont="1" applyFill="1" applyBorder="1" applyAlignment="1">
      <alignment horizontal="left" vertical="center"/>
    </xf>
    <xf numFmtId="0" fontId="25" fillId="0" borderId="43" xfId="1" applyNumberFormat="1" applyFont="1" applyFill="1" applyBorder="1" applyAlignment="1">
      <alignment horizontal="left" vertical="center"/>
    </xf>
    <xf numFmtId="173" fontId="25" fillId="0" borderId="25" xfId="3" applyNumberFormat="1" applyFont="1" applyFill="1" applyBorder="1" applyAlignment="1">
      <alignment horizontal="right"/>
    </xf>
    <xf numFmtId="173" fontId="25" fillId="0" borderId="48" xfId="3" applyNumberFormat="1" applyFont="1" applyFill="1" applyBorder="1" applyAlignment="1">
      <alignment horizontal="right"/>
    </xf>
    <xf numFmtId="37" fontId="25" fillId="4" borderId="1" xfId="0" applyFont="1" applyFill="1" applyBorder="1" applyAlignment="1">
      <alignment horizontal="right" vertical="center" wrapText="1"/>
    </xf>
    <xf numFmtId="37" fontId="25" fillId="4" borderId="47" xfId="0" applyFont="1" applyFill="1" applyBorder="1" applyAlignment="1">
      <alignment horizontal="right" vertical="center" wrapText="1"/>
    </xf>
    <xf numFmtId="10" fontId="25" fillId="4" borderId="0" xfId="1" applyNumberFormat="1" applyFont="1" applyFill="1" applyBorder="1" applyAlignment="1">
      <alignment horizontal="right" vertical="center"/>
    </xf>
    <xf numFmtId="10" fontId="25" fillId="4" borderId="43" xfId="1" applyNumberFormat="1" applyFont="1" applyFill="1" applyBorder="1" applyAlignment="1">
      <alignment horizontal="right" vertical="center"/>
    </xf>
    <xf numFmtId="39" fontId="25" fillId="4" borderId="0" xfId="0" applyNumberFormat="1" applyFont="1" applyFill="1" applyAlignment="1">
      <alignment horizontal="right" vertical="center"/>
    </xf>
    <xf numFmtId="39" fontId="25" fillId="4" borderId="43" xfId="0" applyNumberFormat="1" applyFont="1" applyFill="1" applyBorder="1" applyAlignment="1">
      <alignment horizontal="right" vertical="center"/>
    </xf>
    <xf numFmtId="37" fontId="37" fillId="4" borderId="42" xfId="0" applyFont="1" applyFill="1" applyBorder="1" applyAlignment="1">
      <alignment horizontal="left" vertical="center" wrapText="1"/>
    </xf>
    <xf numFmtId="2" fontId="25" fillId="4" borderId="7" xfId="1" applyNumberFormat="1" applyFont="1" applyFill="1" applyBorder="1" applyAlignment="1">
      <alignment horizontal="right" vertical="center"/>
    </xf>
    <xf numFmtId="37" fontId="37" fillId="4" borderId="0" xfId="0" applyFont="1" applyFill="1" applyAlignment="1">
      <alignment horizontal="left" vertical="center" wrapText="1"/>
    </xf>
    <xf numFmtId="37" fontId="37" fillId="0" borderId="44" xfId="0" applyFont="1" applyBorder="1" applyAlignment="1">
      <alignment horizontal="left" vertical="center" wrapText="1"/>
    </xf>
    <xf numFmtId="37" fontId="25" fillId="0" borderId="7" xfId="0" applyFont="1" applyBorder="1" applyAlignment="1" applyProtection="1">
      <alignment horizontal="right" vertical="center"/>
      <protection locked="0"/>
    </xf>
    <xf numFmtId="37" fontId="25" fillId="0" borderId="8" xfId="0" applyFont="1" applyBorder="1" applyAlignment="1" applyProtection="1">
      <alignment horizontal="right" vertical="center"/>
      <protection locked="0"/>
    </xf>
    <xf numFmtId="37" fontId="25" fillId="7" borderId="0" xfId="0" applyFont="1" applyFill="1" applyAlignment="1" applyProtection="1">
      <alignment horizontal="right" vertical="center"/>
      <protection locked="0"/>
    </xf>
    <xf numFmtId="37" fontId="25" fillId="7" borderId="43" xfId="0" applyFont="1" applyFill="1" applyBorder="1" applyAlignment="1" applyProtection="1">
      <alignment horizontal="right" vertical="center"/>
      <protection locked="0"/>
    </xf>
    <xf numFmtId="37" fontId="25" fillId="4" borderId="0" xfId="0" applyFont="1" applyFill="1" applyAlignment="1">
      <alignment horizontal="right"/>
    </xf>
    <xf numFmtId="37" fontId="25" fillId="4" borderId="43" xfId="0" applyFont="1" applyFill="1" applyBorder="1" applyAlignment="1">
      <alignment horizontal="right"/>
    </xf>
    <xf numFmtId="37" fontId="25" fillId="4" borderId="3" xfId="0" applyFont="1" applyFill="1" applyBorder="1" applyAlignment="1">
      <alignment horizontal="right" vertical="center" wrapText="1"/>
    </xf>
    <xf numFmtId="37" fontId="25" fillId="4" borderId="45" xfId="0" applyFont="1" applyFill="1" applyBorder="1" applyAlignment="1">
      <alignment horizontal="right" vertical="center" wrapText="1"/>
    </xf>
    <xf numFmtId="37" fontId="26" fillId="0" borderId="43" xfId="0" applyFont="1" applyBorder="1" applyAlignment="1">
      <alignment horizontal="center"/>
    </xf>
    <xf numFmtId="37" fontId="25" fillId="4" borderId="0" xfId="0" applyFont="1" applyFill="1" applyAlignment="1">
      <alignment horizontal="right" vertical="center"/>
    </xf>
    <xf numFmtId="37" fontId="25" fillId="4" borderId="43" xfId="0" applyFont="1" applyFill="1" applyBorder="1" applyAlignment="1">
      <alignment horizontal="right" vertical="center"/>
    </xf>
    <xf numFmtId="37" fontId="25" fillId="4" borderId="3" xfId="0" applyFont="1" applyFill="1" applyBorder="1" applyAlignment="1">
      <alignment horizontal="right" vertical="center"/>
    </xf>
    <xf numFmtId="37" fontId="25" fillId="4" borderId="45" xfId="0" applyFont="1" applyFill="1" applyBorder="1" applyAlignment="1">
      <alignment horizontal="right" vertical="center"/>
    </xf>
    <xf numFmtId="37" fontId="25" fillId="0" borderId="17" xfId="0" applyFont="1" applyBorder="1" applyAlignment="1" applyProtection="1">
      <alignment horizontal="right" vertical="center"/>
      <protection locked="0"/>
    </xf>
    <xf numFmtId="37" fontId="25" fillId="0" borderId="1" xfId="0" applyFont="1" applyBorder="1" applyAlignment="1" applyProtection="1">
      <alignment horizontal="right" vertical="center"/>
      <protection locked="0"/>
    </xf>
    <xf numFmtId="37" fontId="25" fillId="0" borderId="47" xfId="0" applyFont="1" applyBorder="1" applyAlignment="1" applyProtection="1">
      <alignment horizontal="right" vertical="center"/>
      <protection locked="0"/>
    </xf>
    <xf numFmtId="14" fontId="25" fillId="4" borderId="39" xfId="0" applyNumberFormat="1" applyFont="1" applyFill="1" applyBorder="1" applyAlignment="1">
      <alignment vertical="center" wrapText="1"/>
    </xf>
    <xf numFmtId="14" fontId="25" fillId="4" borderId="41" xfId="0" applyNumberFormat="1" applyFont="1" applyFill="1" applyBorder="1" applyAlignment="1">
      <alignment vertical="center" wrapText="1"/>
    </xf>
    <xf numFmtId="37" fontId="37" fillId="4" borderId="44" xfId="0" applyFont="1" applyFill="1" applyBorder="1" applyAlignment="1">
      <alignment horizontal="left" vertical="center" wrapText="1"/>
    </xf>
    <xf numFmtId="37" fontId="25" fillId="4" borderId="0" xfId="0" applyFont="1" applyFill="1" applyAlignment="1" applyProtection="1">
      <alignment horizontal="left" vertical="center" wrapText="1"/>
      <protection locked="0"/>
    </xf>
    <xf numFmtId="37" fontId="25" fillId="4" borderId="3" xfId="0" applyFont="1" applyFill="1" applyBorder="1" applyAlignment="1" applyProtection="1">
      <alignment horizontal="left" vertical="center" wrapText="1"/>
      <protection locked="0"/>
    </xf>
    <xf numFmtId="37" fontId="25" fillId="4" borderId="3" xfId="0" applyFont="1" applyFill="1" applyBorder="1" applyAlignment="1">
      <alignment horizontal="right"/>
    </xf>
    <xf numFmtId="37" fontId="25" fillId="4" borderId="45" xfId="0" applyFont="1" applyFill="1" applyBorder="1" applyAlignment="1">
      <alignment horizontal="right"/>
    </xf>
    <xf numFmtId="37" fontId="25" fillId="0" borderId="7" xfId="0" applyFont="1" applyBorder="1" applyAlignment="1" applyProtection="1">
      <alignment horizontal="right" vertical="center" wrapText="1"/>
      <protection locked="0"/>
    </xf>
    <xf numFmtId="37" fontId="37" fillId="0" borderId="5" xfId="0" applyFont="1" applyBorder="1" applyAlignment="1">
      <alignment horizontal="left" vertical="center" wrapText="1"/>
    </xf>
    <xf numFmtId="37" fontId="26" fillId="0" borderId="0" xfId="0" applyFont="1" applyAlignment="1">
      <alignment horizontal="center"/>
    </xf>
    <xf numFmtId="10" fontId="7" fillId="3" borderId="0" xfId="1" applyNumberFormat="1" applyFont="1" applyFill="1" applyAlignment="1">
      <alignment horizontal="right"/>
    </xf>
    <xf numFmtId="10" fontId="7" fillId="4" borderId="0" xfId="1" applyNumberFormat="1" applyFont="1" applyFill="1" applyAlignment="1" applyProtection="1">
      <alignment wrapText="1"/>
      <protection locked="0"/>
    </xf>
    <xf numFmtId="44" fontId="19" fillId="0" borderId="16" xfId="0" applyNumberFormat="1" applyFont="1" applyBorder="1" applyProtection="1">
      <protection locked="0"/>
    </xf>
    <xf numFmtId="44" fontId="19" fillId="0" borderId="0" xfId="0" applyNumberFormat="1" applyFont="1" applyProtection="1">
      <protection locked="0"/>
    </xf>
    <xf numFmtId="44" fontId="19" fillId="0" borderId="0" xfId="0" applyNumberFormat="1" applyFont="1" applyAlignment="1">
      <alignment horizontal="center" wrapText="1"/>
    </xf>
    <xf numFmtId="44" fontId="10" fillId="0" borderId="0" xfId="0" applyNumberFormat="1" applyFont="1" applyProtection="1">
      <protection locked="0"/>
    </xf>
    <xf numFmtId="44" fontId="10" fillId="0" borderId="0" xfId="3" applyNumberFormat="1" applyFont="1" applyProtection="1"/>
    <xf numFmtId="44" fontId="10" fillId="0" borderId="0" xfId="3" applyNumberFormat="1" applyFont="1" applyBorder="1" applyProtection="1"/>
    <xf numFmtId="44" fontId="10" fillId="0" borderId="1" xfId="3" applyNumberFormat="1" applyFont="1" applyFill="1" applyBorder="1" applyProtection="1"/>
    <xf numFmtId="44" fontId="10" fillId="0" borderId="0" xfId="0" applyNumberFormat="1" applyFont="1"/>
    <xf numFmtId="44" fontId="19" fillId="0" borderId="0" xfId="3" applyNumberFormat="1" applyFont="1" applyFill="1" applyProtection="1"/>
    <xf numFmtId="44" fontId="10" fillId="0" borderId="0" xfId="3" applyNumberFormat="1" applyFont="1" applyFill="1" applyProtection="1"/>
    <xf numFmtId="44" fontId="10" fillId="0" borderId="25" xfId="3" applyNumberFormat="1" applyFont="1" applyFill="1" applyBorder="1" applyProtection="1"/>
    <xf numFmtId="44" fontId="10" fillId="0" borderId="28" xfId="3" applyNumberFormat="1" applyFont="1" applyFill="1" applyBorder="1" applyProtection="1"/>
    <xf numFmtId="44" fontId="19" fillId="0" borderId="2" xfId="3" applyNumberFormat="1" applyFont="1" applyFill="1" applyBorder="1" applyProtection="1"/>
    <xf numFmtId="44" fontId="19" fillId="0" borderId="0" xfId="0" applyNumberFormat="1" applyFont="1" applyAlignment="1" applyProtection="1">
      <alignment horizontal="left"/>
      <protection locked="0"/>
    </xf>
    <xf numFmtId="173" fontId="10" fillId="0" borderId="11" xfId="0" applyNumberFormat="1" applyFont="1" applyBorder="1"/>
    <xf numFmtId="37" fontId="19" fillId="0" borderId="16" xfId="0" applyNumberFormat="1" applyFont="1" applyBorder="1" applyProtection="1">
      <protection locked="0"/>
    </xf>
    <xf numFmtId="37" fontId="19" fillId="0" borderId="0" xfId="0" applyNumberFormat="1" applyFont="1" applyAlignment="1">
      <alignment horizontal="right"/>
    </xf>
    <xf numFmtId="37" fontId="19" fillId="0" borderId="0" xfId="0" applyNumberFormat="1" applyFont="1" applyAlignment="1">
      <alignment horizontal="right" wrapText="1"/>
    </xf>
    <xf numFmtId="37" fontId="10" fillId="0" borderId="0" xfId="0" applyNumberFormat="1" applyFont="1" applyProtection="1">
      <protection locked="0"/>
    </xf>
    <xf numFmtId="37" fontId="10" fillId="0" borderId="0" xfId="3" applyNumberFormat="1" applyFont="1" applyProtection="1"/>
    <xf numFmtId="37" fontId="10" fillId="0" borderId="35" xfId="3" applyNumberFormat="1" applyFont="1" applyBorder="1" applyProtection="1"/>
    <xf numFmtId="37" fontId="10" fillId="0" borderId="0" xfId="3" applyNumberFormat="1" applyFont="1" applyBorder="1" applyProtection="1"/>
    <xf numFmtId="37" fontId="19" fillId="0" borderId="35" xfId="3" applyNumberFormat="1" applyFont="1" applyBorder="1" applyProtection="1"/>
    <xf numFmtId="37" fontId="10" fillId="0" borderId="27" xfId="3" applyNumberFormat="1" applyFont="1" applyBorder="1" applyProtection="1"/>
    <xf numFmtId="37" fontId="10" fillId="0" borderId="16" xfId="3" applyNumberFormat="1" applyFont="1" applyBorder="1" applyProtection="1"/>
  </cellXfs>
  <cellStyles count="5">
    <cellStyle name="Comma" xfId="4" builtinId="3"/>
    <cellStyle name="Currency" xfId="3" builtinId="4"/>
    <cellStyle name="Normal" xfId="0" builtinId="0"/>
    <cellStyle name="Normal 2" xfId="2" xr:uid="{00000000-0005-0000-0000-000003000000}"/>
    <cellStyle name="Percent" xfId="1" builtinId="5"/>
  </cellStyles>
  <dxfs count="4">
    <dxf>
      <font>
        <color theme="0" tint="-4.9989318521683403E-2"/>
      </font>
    </dxf>
    <dxf>
      <font>
        <color theme="0"/>
      </font>
    </dxf>
    <dxf>
      <font>
        <color theme="0" tint="-4.9989318521683403E-2"/>
      </font>
    </dxf>
    <dxf>
      <font>
        <color theme="0"/>
      </font>
      <fill>
        <patternFill patternType="none">
          <bgColor auto="1"/>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EV\Projects\Putney%20Landing\PROFORMA\Putney%20prelim%20pro%20forma%202.2%20cost%20est%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sum."/>
      <sheetName val="Sources"/>
      <sheetName val="Uses"/>
      <sheetName val="Scratch Pad"/>
      <sheetName val="Constr."/>
      <sheetName val="6-in&amp;ex"/>
      <sheetName val="changes"/>
      <sheetName val="OpCF"/>
      <sheetName val="7-exp."/>
      <sheetName val="Unit"/>
      <sheetName val="Bldg"/>
      <sheetName val="Data"/>
      <sheetName val="BS"/>
      <sheetName val="CapAcct"/>
      <sheetName val="MinGain"/>
      <sheetName val="Calcs"/>
      <sheetName val="Depn"/>
      <sheetName val="Debt"/>
      <sheetName val="Debtsum"/>
      <sheetName val="Ben1"/>
      <sheetName val="IRR1"/>
      <sheetName val="Ben2"/>
      <sheetName val="IRR2"/>
      <sheetName val="HOME FORM"/>
      <sheetName val="s to u"/>
      <sheetName val="VHFA"/>
      <sheetName val="Draws"/>
      <sheetName val="HVT Board"/>
      <sheetName val="Write-Up Tables"/>
      <sheetName val="Sheet1"/>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0"/>
  <sheetViews>
    <sheetView topLeftCell="A20" zoomScaleNormal="100" workbookViewId="0">
      <selection activeCell="E13" sqref="E13"/>
    </sheetView>
  </sheetViews>
  <sheetFormatPr defaultRowHeight="15.75" x14ac:dyDescent="0.25"/>
  <cols>
    <col min="1" max="1" width="70.5546875" style="95" customWidth="1"/>
  </cols>
  <sheetData>
    <row r="1" spans="1:1" x14ac:dyDescent="0.25">
      <c r="A1" s="106"/>
    </row>
    <row r="2" spans="1:1" x14ac:dyDescent="0.25">
      <c r="A2" s="476" t="s">
        <v>0</v>
      </c>
    </row>
    <row r="3" spans="1:1" ht="63" x14ac:dyDescent="0.25">
      <c r="A3" s="477" t="s">
        <v>1</v>
      </c>
    </row>
    <row r="4" spans="1:1" x14ac:dyDescent="0.25">
      <c r="A4" s="477"/>
    </row>
    <row r="5" spans="1:1" x14ac:dyDescent="0.25">
      <c r="A5" s="476" t="s">
        <v>2</v>
      </c>
    </row>
    <row r="6" spans="1:1" ht="47.25" x14ac:dyDescent="0.25">
      <c r="A6" s="477" t="s">
        <v>3</v>
      </c>
    </row>
    <row r="7" spans="1:1" x14ac:dyDescent="0.25">
      <c r="A7" s="477"/>
    </row>
    <row r="8" spans="1:1" ht="31.5" x14ac:dyDescent="0.25">
      <c r="A8" s="477" t="s">
        <v>4</v>
      </c>
    </row>
    <row r="9" spans="1:1" x14ac:dyDescent="0.25">
      <c r="A9" s="477"/>
    </row>
    <row r="10" spans="1:1" x14ac:dyDescent="0.25">
      <c r="A10" s="476" t="s">
        <v>5</v>
      </c>
    </row>
    <row r="11" spans="1:1" ht="47.25" x14ac:dyDescent="0.25">
      <c r="A11" s="477" t="s">
        <v>6</v>
      </c>
    </row>
    <row r="12" spans="1:1" x14ac:dyDescent="0.25">
      <c r="A12" s="477"/>
    </row>
    <row r="13" spans="1:1" x14ac:dyDescent="0.25">
      <c r="A13" s="476" t="s">
        <v>7</v>
      </c>
    </row>
    <row r="14" spans="1:1" ht="63" x14ac:dyDescent="0.25">
      <c r="A14" s="477" t="s">
        <v>8</v>
      </c>
    </row>
    <row r="15" spans="1:1" x14ac:dyDescent="0.25">
      <c r="A15" s="477"/>
    </row>
    <row r="16" spans="1:1" x14ac:dyDescent="0.25">
      <c r="A16" s="476" t="s">
        <v>9</v>
      </c>
    </row>
    <row r="17" spans="1:1" ht="47.25" x14ac:dyDescent="0.25">
      <c r="A17" s="477" t="s">
        <v>10</v>
      </c>
    </row>
    <row r="18" spans="1:1" x14ac:dyDescent="0.25">
      <c r="A18" s="477"/>
    </row>
    <row r="19" spans="1:1" x14ac:dyDescent="0.25">
      <c r="A19" s="476" t="s">
        <v>11</v>
      </c>
    </row>
    <row r="20" spans="1:1" ht="63" x14ac:dyDescent="0.25">
      <c r="A20" s="477" t="s">
        <v>12</v>
      </c>
    </row>
    <row r="21" spans="1:1" x14ac:dyDescent="0.25">
      <c r="A21" s="477"/>
    </row>
    <row r="22" spans="1:1" x14ac:dyDescent="0.25">
      <c r="A22" s="476" t="s">
        <v>13</v>
      </c>
    </row>
    <row r="23" spans="1:1" ht="63" x14ac:dyDescent="0.25">
      <c r="A23" s="477" t="s">
        <v>14</v>
      </c>
    </row>
    <row r="24" spans="1:1" x14ac:dyDescent="0.25">
      <c r="A24" s="477"/>
    </row>
    <row r="25" spans="1:1" ht="47.25" x14ac:dyDescent="0.25">
      <c r="A25" s="477" t="s">
        <v>15</v>
      </c>
    </row>
    <row r="26" spans="1:1" x14ac:dyDescent="0.25">
      <c r="A26" s="106"/>
    </row>
    <row r="27" spans="1:1" x14ac:dyDescent="0.25">
      <c r="A27" s="476" t="s">
        <v>16</v>
      </c>
    </row>
    <row r="28" spans="1:1" ht="47.25" x14ac:dyDescent="0.25">
      <c r="A28" s="477" t="s">
        <v>17</v>
      </c>
    </row>
    <row r="29" spans="1:1" x14ac:dyDescent="0.25">
      <c r="A29" s="110"/>
    </row>
    <row r="30" spans="1:1" x14ac:dyDescent="0.25">
      <c r="A30" s="106"/>
    </row>
    <row r="31" spans="1:1" x14ac:dyDescent="0.25">
      <c r="A31" s="106"/>
    </row>
    <row r="32" spans="1:1" x14ac:dyDescent="0.25">
      <c r="A32" s="110"/>
    </row>
    <row r="33" spans="1:1" x14ac:dyDescent="0.25">
      <c r="A33" s="106"/>
    </row>
    <row r="34" spans="1:1" x14ac:dyDescent="0.25">
      <c r="A34" s="106"/>
    </row>
    <row r="35" spans="1:1" x14ac:dyDescent="0.25">
      <c r="A35" s="106"/>
    </row>
    <row r="36" spans="1:1" x14ac:dyDescent="0.25">
      <c r="A36" s="110"/>
    </row>
    <row r="37" spans="1:1" x14ac:dyDescent="0.25">
      <c r="A37" s="106"/>
    </row>
    <row r="38" spans="1:1" x14ac:dyDescent="0.25">
      <c r="A38" s="106"/>
    </row>
    <row r="39" spans="1:1" x14ac:dyDescent="0.25">
      <c r="A39" s="106"/>
    </row>
    <row r="40" spans="1:1" x14ac:dyDescent="0.25">
      <c r="A40" s="106"/>
    </row>
    <row r="41" spans="1:1" x14ac:dyDescent="0.25">
      <c r="A41" s="106"/>
    </row>
    <row r="42" spans="1:1" x14ac:dyDescent="0.25">
      <c r="A42" s="110"/>
    </row>
    <row r="43" spans="1:1" x14ac:dyDescent="0.25">
      <c r="A43" s="106"/>
    </row>
    <row r="44" spans="1:1" x14ac:dyDescent="0.25">
      <c r="A44" s="106"/>
    </row>
    <row r="45" spans="1:1" x14ac:dyDescent="0.25">
      <c r="A45" s="106"/>
    </row>
    <row r="46" spans="1:1" x14ac:dyDescent="0.25">
      <c r="A46" s="110"/>
    </row>
    <row r="47" spans="1:1" x14ac:dyDescent="0.25">
      <c r="A47" s="106"/>
    </row>
    <row r="48" spans="1:1" x14ac:dyDescent="0.25">
      <c r="A48" s="106"/>
    </row>
    <row r="49" spans="1:1" x14ac:dyDescent="0.25">
      <c r="A49" s="106"/>
    </row>
    <row r="50" spans="1:1" x14ac:dyDescent="0.25">
      <c r="A50" s="106"/>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O401"/>
  <sheetViews>
    <sheetView zoomScaleNormal="100" workbookViewId="0">
      <pane ySplit="1" topLeftCell="A293" activePane="bottomLeft" state="frozen"/>
      <selection pane="bottomLeft" activeCell="B204" sqref="B204"/>
    </sheetView>
  </sheetViews>
  <sheetFormatPr defaultColWidth="8.6640625" defaultRowHeight="14.25" outlineLevelRow="2" x14ac:dyDescent="0.2"/>
  <cols>
    <col min="1" max="1" width="25.6640625" style="12" customWidth="1"/>
    <col min="2" max="2" width="10.44140625" style="12" customWidth="1"/>
    <col min="3" max="16" width="9.44140625" style="12" bestFit="1" customWidth="1"/>
    <col min="17" max="16384" width="8.6640625" style="12"/>
  </cols>
  <sheetData>
    <row r="1" spans="1:41" ht="15" x14ac:dyDescent="0.25">
      <c r="A1" s="199" t="str">
        <f>assumptions!B2</f>
        <v>enter date</v>
      </c>
      <c r="B1" s="293" t="str">
        <f>assumptions!B1</f>
        <v>enter project name</v>
      </c>
      <c r="C1" s="70"/>
      <c r="D1" s="70"/>
    </row>
    <row r="3" spans="1:41" ht="15" x14ac:dyDescent="0.25">
      <c r="A3" s="292" t="str">
        <f>assumptions!A21</f>
        <v>Other Permanent Debt</v>
      </c>
    </row>
    <row r="4" spans="1:41" ht="15" x14ac:dyDescent="0.25">
      <c r="A4" s="292"/>
    </row>
    <row r="5" spans="1:41" x14ac:dyDescent="0.2">
      <c r="A5" s="296" t="s">
        <v>413</v>
      </c>
      <c r="B5" s="1">
        <f>assumptions!B21</f>
        <v>0</v>
      </c>
    </row>
    <row r="6" spans="1:41" x14ac:dyDescent="0.2">
      <c r="A6" s="296" t="s">
        <v>414</v>
      </c>
      <c r="B6" s="5">
        <f>assumptions!D21</f>
        <v>0</v>
      </c>
    </row>
    <row r="7" spans="1:41" x14ac:dyDescent="0.2">
      <c r="A7" s="296" t="s">
        <v>415</v>
      </c>
      <c r="B7" s="1">
        <f>assumptions!E21</f>
        <v>0</v>
      </c>
    </row>
    <row r="8" spans="1:41" x14ac:dyDescent="0.2">
      <c r="A8" s="296" t="s">
        <v>416</v>
      </c>
      <c r="B8" s="1">
        <f>assumptions!F21</f>
        <v>0</v>
      </c>
    </row>
    <row r="9" spans="1:41" x14ac:dyDescent="0.2">
      <c r="A9" s="296" t="s">
        <v>417</v>
      </c>
      <c r="B9" s="1">
        <f>IF(B5=0,0,PMT(B6/12,B7*12,-B5))</f>
        <v>0</v>
      </c>
    </row>
    <row r="10" spans="1:41" x14ac:dyDescent="0.2">
      <c r="A10" s="296" t="s">
        <v>418</v>
      </c>
      <c r="B10" s="1">
        <f>B9*12</f>
        <v>0</v>
      </c>
    </row>
    <row r="12" spans="1:41" x14ac:dyDescent="0.2">
      <c r="A12" s="295" t="s">
        <v>419</v>
      </c>
      <c r="B12" s="294">
        <v>1</v>
      </c>
      <c r="C12" s="294">
        <f t="shared" ref="C12:R12" si="0">B12+1</f>
        <v>2</v>
      </c>
      <c r="D12" s="294">
        <f t="shared" si="0"/>
        <v>3</v>
      </c>
      <c r="E12" s="294">
        <f t="shared" si="0"/>
        <v>4</v>
      </c>
      <c r="F12" s="294">
        <f t="shared" si="0"/>
        <v>5</v>
      </c>
      <c r="G12" s="294">
        <f t="shared" si="0"/>
        <v>6</v>
      </c>
      <c r="H12" s="294">
        <f t="shared" si="0"/>
        <v>7</v>
      </c>
      <c r="I12" s="294">
        <f t="shared" si="0"/>
        <v>8</v>
      </c>
      <c r="J12" s="294">
        <f t="shared" si="0"/>
        <v>9</v>
      </c>
      <c r="K12" s="294">
        <f t="shared" si="0"/>
        <v>10</v>
      </c>
      <c r="L12" s="294">
        <f t="shared" si="0"/>
        <v>11</v>
      </c>
      <c r="M12" s="294">
        <f t="shared" si="0"/>
        <v>12</v>
      </c>
      <c r="N12" s="294">
        <f t="shared" si="0"/>
        <v>13</v>
      </c>
      <c r="O12" s="294">
        <f t="shared" si="0"/>
        <v>14</v>
      </c>
      <c r="P12" s="294">
        <f t="shared" si="0"/>
        <v>15</v>
      </c>
      <c r="Q12" s="294">
        <f t="shared" si="0"/>
        <v>16</v>
      </c>
      <c r="R12" s="294">
        <f t="shared" si="0"/>
        <v>17</v>
      </c>
      <c r="S12" s="294">
        <f t="shared" ref="S12:AE12" si="1">R12+1</f>
        <v>18</v>
      </c>
      <c r="T12" s="294">
        <f t="shared" si="1"/>
        <v>19</v>
      </c>
      <c r="U12" s="294">
        <f t="shared" si="1"/>
        <v>20</v>
      </c>
      <c r="V12" s="294">
        <f t="shared" si="1"/>
        <v>21</v>
      </c>
      <c r="W12" s="294">
        <f t="shared" si="1"/>
        <v>22</v>
      </c>
      <c r="X12" s="294">
        <f t="shared" si="1"/>
        <v>23</v>
      </c>
      <c r="Y12" s="294">
        <f t="shared" si="1"/>
        <v>24</v>
      </c>
      <c r="Z12" s="294">
        <f t="shared" si="1"/>
        <v>25</v>
      </c>
      <c r="AA12" s="294">
        <f t="shared" si="1"/>
        <v>26</v>
      </c>
      <c r="AB12" s="294">
        <f t="shared" si="1"/>
        <v>27</v>
      </c>
      <c r="AC12" s="294">
        <f t="shared" si="1"/>
        <v>28</v>
      </c>
      <c r="AD12" s="294">
        <f t="shared" si="1"/>
        <v>29</v>
      </c>
      <c r="AE12" s="294">
        <f t="shared" si="1"/>
        <v>30</v>
      </c>
      <c r="AF12" s="294">
        <f t="shared" ref="AF12:AO12" si="2">AE12+1</f>
        <v>31</v>
      </c>
      <c r="AG12" s="294">
        <f t="shared" si="2"/>
        <v>32</v>
      </c>
      <c r="AH12" s="294">
        <f t="shared" si="2"/>
        <v>33</v>
      </c>
      <c r="AI12" s="294">
        <f t="shared" si="2"/>
        <v>34</v>
      </c>
      <c r="AJ12" s="294">
        <f t="shared" si="2"/>
        <v>35</v>
      </c>
      <c r="AK12" s="294">
        <f t="shared" si="2"/>
        <v>36</v>
      </c>
      <c r="AL12" s="294">
        <f t="shared" si="2"/>
        <v>37</v>
      </c>
      <c r="AM12" s="294">
        <f t="shared" si="2"/>
        <v>38</v>
      </c>
      <c r="AN12" s="294">
        <f t="shared" si="2"/>
        <v>39</v>
      </c>
      <c r="AO12" s="294">
        <f t="shared" si="2"/>
        <v>40</v>
      </c>
    </row>
    <row r="13" spans="1:41" x14ac:dyDescent="0.2">
      <c r="A13" s="13" t="s">
        <v>420</v>
      </c>
      <c r="B13" s="1">
        <f>B5</f>
        <v>0</v>
      </c>
      <c r="C13" s="1">
        <f>B14</f>
        <v>0</v>
      </c>
      <c r="D13" s="1">
        <f t="shared" ref="D13:AE13" si="3">C14</f>
        <v>0</v>
      </c>
      <c r="E13" s="1">
        <f t="shared" si="3"/>
        <v>0</v>
      </c>
      <c r="F13" s="1">
        <f t="shared" si="3"/>
        <v>0</v>
      </c>
      <c r="G13" s="1">
        <f t="shared" si="3"/>
        <v>0</v>
      </c>
      <c r="H13" s="1">
        <f t="shared" si="3"/>
        <v>0</v>
      </c>
      <c r="I13" s="1">
        <f t="shared" si="3"/>
        <v>0</v>
      </c>
      <c r="J13" s="1">
        <f t="shared" si="3"/>
        <v>0</v>
      </c>
      <c r="K13" s="1">
        <f t="shared" si="3"/>
        <v>0</v>
      </c>
      <c r="L13" s="1">
        <f t="shared" si="3"/>
        <v>0</v>
      </c>
      <c r="M13" s="1">
        <f t="shared" si="3"/>
        <v>0</v>
      </c>
      <c r="N13" s="1">
        <f t="shared" si="3"/>
        <v>0</v>
      </c>
      <c r="O13" s="1">
        <f t="shared" si="3"/>
        <v>0</v>
      </c>
      <c r="P13" s="1">
        <f t="shared" si="3"/>
        <v>0</v>
      </c>
      <c r="Q13" s="1">
        <f t="shared" si="3"/>
        <v>0</v>
      </c>
      <c r="R13" s="1">
        <f t="shared" si="3"/>
        <v>0</v>
      </c>
      <c r="S13" s="1">
        <f t="shared" si="3"/>
        <v>0</v>
      </c>
      <c r="T13" s="1">
        <f t="shared" si="3"/>
        <v>0</v>
      </c>
      <c r="U13" s="1">
        <f t="shared" si="3"/>
        <v>0</v>
      </c>
      <c r="V13" s="1">
        <f t="shared" si="3"/>
        <v>0</v>
      </c>
      <c r="W13" s="1">
        <f t="shared" si="3"/>
        <v>0</v>
      </c>
      <c r="X13" s="1">
        <f t="shared" si="3"/>
        <v>0</v>
      </c>
      <c r="Y13" s="1">
        <f t="shared" si="3"/>
        <v>0</v>
      </c>
      <c r="Z13" s="1">
        <f t="shared" si="3"/>
        <v>0</v>
      </c>
      <c r="AA13" s="1">
        <f t="shared" si="3"/>
        <v>0</v>
      </c>
      <c r="AB13" s="1">
        <f t="shared" si="3"/>
        <v>0</v>
      </c>
      <c r="AC13" s="1">
        <f t="shared" si="3"/>
        <v>0</v>
      </c>
      <c r="AD13" s="1">
        <f t="shared" si="3"/>
        <v>0</v>
      </c>
      <c r="AE13" s="1">
        <f t="shared" si="3"/>
        <v>0</v>
      </c>
      <c r="AF13" s="1">
        <f t="shared" ref="AF13:AO13" si="4">AE14</f>
        <v>0</v>
      </c>
      <c r="AG13" s="1">
        <f t="shared" si="4"/>
        <v>0</v>
      </c>
      <c r="AH13" s="1">
        <f t="shared" si="4"/>
        <v>0</v>
      </c>
      <c r="AI13" s="1">
        <f t="shared" si="4"/>
        <v>0</v>
      </c>
      <c r="AJ13" s="1">
        <f t="shared" si="4"/>
        <v>0</v>
      </c>
      <c r="AK13" s="1">
        <f t="shared" si="4"/>
        <v>0</v>
      </c>
      <c r="AL13" s="1">
        <f t="shared" si="4"/>
        <v>0</v>
      </c>
      <c r="AM13" s="1">
        <f t="shared" si="4"/>
        <v>0</v>
      </c>
      <c r="AN13" s="1">
        <f t="shared" si="4"/>
        <v>0</v>
      </c>
      <c r="AO13" s="1">
        <f t="shared" si="4"/>
        <v>0</v>
      </c>
    </row>
    <row r="14" spans="1:41" x14ac:dyDescent="0.2">
      <c r="A14" s="13" t="s">
        <v>421</v>
      </c>
      <c r="B14" s="1">
        <f>PV($B$6/12,12*($B$7-B$12),-$B$9)</f>
        <v>0</v>
      </c>
      <c r="C14" s="1">
        <f>IF($B$8&lt;=C12,0,PV($B$6/12,12*($B$7-C$12),-$B$9))</f>
        <v>0</v>
      </c>
      <c r="D14" s="1">
        <f t="shared" ref="D14:AO14" si="5">IF($B$8&lt;=D12,0,PV($B$6/12,12*($B$7-D$12),-$B$9))</f>
        <v>0</v>
      </c>
      <c r="E14" s="1">
        <f t="shared" si="5"/>
        <v>0</v>
      </c>
      <c r="F14" s="1">
        <f t="shared" si="5"/>
        <v>0</v>
      </c>
      <c r="G14" s="1">
        <f t="shared" si="5"/>
        <v>0</v>
      </c>
      <c r="H14" s="1">
        <f t="shared" si="5"/>
        <v>0</v>
      </c>
      <c r="I14" s="1">
        <f t="shared" si="5"/>
        <v>0</v>
      </c>
      <c r="J14" s="1">
        <f t="shared" si="5"/>
        <v>0</v>
      </c>
      <c r="K14" s="1">
        <f t="shared" si="5"/>
        <v>0</v>
      </c>
      <c r="L14" s="1">
        <f t="shared" si="5"/>
        <v>0</v>
      </c>
      <c r="M14" s="1">
        <f t="shared" si="5"/>
        <v>0</v>
      </c>
      <c r="N14" s="1">
        <f t="shared" si="5"/>
        <v>0</v>
      </c>
      <c r="O14" s="1">
        <f t="shared" si="5"/>
        <v>0</v>
      </c>
      <c r="P14" s="1">
        <f t="shared" si="5"/>
        <v>0</v>
      </c>
      <c r="Q14" s="1">
        <f t="shared" si="5"/>
        <v>0</v>
      </c>
      <c r="R14" s="1">
        <f t="shared" si="5"/>
        <v>0</v>
      </c>
      <c r="S14" s="1">
        <f t="shared" si="5"/>
        <v>0</v>
      </c>
      <c r="T14" s="1">
        <f t="shared" si="5"/>
        <v>0</v>
      </c>
      <c r="U14" s="1">
        <f t="shared" si="5"/>
        <v>0</v>
      </c>
      <c r="V14" s="1">
        <f t="shared" si="5"/>
        <v>0</v>
      </c>
      <c r="W14" s="1">
        <f t="shared" si="5"/>
        <v>0</v>
      </c>
      <c r="X14" s="1">
        <f t="shared" si="5"/>
        <v>0</v>
      </c>
      <c r="Y14" s="1">
        <f t="shared" si="5"/>
        <v>0</v>
      </c>
      <c r="Z14" s="1">
        <f t="shared" si="5"/>
        <v>0</v>
      </c>
      <c r="AA14" s="1">
        <f t="shared" si="5"/>
        <v>0</v>
      </c>
      <c r="AB14" s="1">
        <f t="shared" si="5"/>
        <v>0</v>
      </c>
      <c r="AC14" s="1">
        <f t="shared" si="5"/>
        <v>0</v>
      </c>
      <c r="AD14" s="1">
        <f t="shared" si="5"/>
        <v>0</v>
      </c>
      <c r="AE14" s="1">
        <f t="shared" si="5"/>
        <v>0</v>
      </c>
      <c r="AF14" s="1">
        <f t="shared" si="5"/>
        <v>0</v>
      </c>
      <c r="AG14" s="1">
        <f t="shared" si="5"/>
        <v>0</v>
      </c>
      <c r="AH14" s="1">
        <f t="shared" si="5"/>
        <v>0</v>
      </c>
      <c r="AI14" s="1">
        <f t="shared" si="5"/>
        <v>0</v>
      </c>
      <c r="AJ14" s="1">
        <f t="shared" si="5"/>
        <v>0</v>
      </c>
      <c r="AK14" s="1">
        <f t="shared" si="5"/>
        <v>0</v>
      </c>
      <c r="AL14" s="1">
        <f t="shared" si="5"/>
        <v>0</v>
      </c>
      <c r="AM14" s="1">
        <f t="shared" si="5"/>
        <v>0</v>
      </c>
      <c r="AN14" s="1">
        <f t="shared" si="5"/>
        <v>0</v>
      </c>
      <c r="AO14" s="1">
        <f t="shared" si="5"/>
        <v>0</v>
      </c>
    </row>
    <row r="15" spans="1:41" x14ac:dyDescent="0.2">
      <c r="A15" s="13" t="s">
        <v>413</v>
      </c>
      <c r="B15" s="12">
        <f>B13-B14</f>
        <v>0</v>
      </c>
      <c r="C15" s="12">
        <f>IF($B$8&lt;=C12,C13,C13-PV($B$6/12,12*($B$7-C$12),-$B$9))</f>
        <v>0</v>
      </c>
      <c r="D15" s="12">
        <f t="shared" ref="D15:AO15" si="6">IF($B$8&lt;=D12,D13,D13-PV($B$6/12,12*($B$7-D$12),-$B$9))</f>
        <v>0</v>
      </c>
      <c r="E15" s="12">
        <f t="shared" si="6"/>
        <v>0</v>
      </c>
      <c r="F15" s="12">
        <f t="shared" si="6"/>
        <v>0</v>
      </c>
      <c r="G15" s="12">
        <f t="shared" si="6"/>
        <v>0</v>
      </c>
      <c r="H15" s="12">
        <f t="shared" si="6"/>
        <v>0</v>
      </c>
      <c r="I15" s="12">
        <f t="shared" si="6"/>
        <v>0</v>
      </c>
      <c r="J15" s="12">
        <f t="shared" si="6"/>
        <v>0</v>
      </c>
      <c r="K15" s="12">
        <f t="shared" si="6"/>
        <v>0</v>
      </c>
      <c r="L15" s="12">
        <f t="shared" si="6"/>
        <v>0</v>
      </c>
      <c r="M15" s="12">
        <f t="shared" si="6"/>
        <v>0</v>
      </c>
      <c r="N15" s="12">
        <f t="shared" si="6"/>
        <v>0</v>
      </c>
      <c r="O15" s="12">
        <f t="shared" si="6"/>
        <v>0</v>
      </c>
      <c r="P15" s="12">
        <f t="shared" si="6"/>
        <v>0</v>
      </c>
      <c r="Q15" s="12">
        <f t="shared" si="6"/>
        <v>0</v>
      </c>
      <c r="R15" s="12">
        <f t="shared" si="6"/>
        <v>0</v>
      </c>
      <c r="S15" s="12">
        <f t="shared" si="6"/>
        <v>0</v>
      </c>
      <c r="T15" s="12">
        <f t="shared" si="6"/>
        <v>0</v>
      </c>
      <c r="U15" s="12">
        <f t="shared" si="6"/>
        <v>0</v>
      </c>
      <c r="V15" s="12">
        <f t="shared" si="6"/>
        <v>0</v>
      </c>
      <c r="W15" s="12">
        <f t="shared" si="6"/>
        <v>0</v>
      </c>
      <c r="X15" s="12">
        <f t="shared" si="6"/>
        <v>0</v>
      </c>
      <c r="Y15" s="12">
        <f t="shared" si="6"/>
        <v>0</v>
      </c>
      <c r="Z15" s="12">
        <f t="shared" si="6"/>
        <v>0</v>
      </c>
      <c r="AA15" s="12">
        <f t="shared" si="6"/>
        <v>0</v>
      </c>
      <c r="AB15" s="12">
        <f t="shared" si="6"/>
        <v>0</v>
      </c>
      <c r="AC15" s="12">
        <f t="shared" si="6"/>
        <v>0</v>
      </c>
      <c r="AD15" s="12">
        <f t="shared" si="6"/>
        <v>0</v>
      </c>
      <c r="AE15" s="12">
        <f t="shared" si="6"/>
        <v>0</v>
      </c>
      <c r="AF15" s="12">
        <f t="shared" si="6"/>
        <v>0</v>
      </c>
      <c r="AG15" s="12">
        <f t="shared" si="6"/>
        <v>0</v>
      </c>
      <c r="AH15" s="12">
        <f t="shared" si="6"/>
        <v>0</v>
      </c>
      <c r="AI15" s="12">
        <f t="shared" si="6"/>
        <v>0</v>
      </c>
      <c r="AJ15" s="12">
        <f t="shared" si="6"/>
        <v>0</v>
      </c>
      <c r="AK15" s="12">
        <f t="shared" si="6"/>
        <v>0</v>
      </c>
      <c r="AL15" s="12">
        <f t="shared" si="6"/>
        <v>0</v>
      </c>
      <c r="AM15" s="12">
        <f t="shared" si="6"/>
        <v>0</v>
      </c>
      <c r="AN15" s="12">
        <f t="shared" si="6"/>
        <v>0</v>
      </c>
      <c r="AO15" s="12">
        <f t="shared" si="6"/>
        <v>0</v>
      </c>
    </row>
    <row r="16" spans="1:41" x14ac:dyDescent="0.2">
      <c r="A16" s="13" t="s">
        <v>414</v>
      </c>
      <c r="B16" s="1">
        <f>$B$10-B15</f>
        <v>0</v>
      </c>
      <c r="C16" s="1">
        <f>IF($B$8&gt;=C12,$B$10-(C13-PV($B$6/12,12*($B$7-C$12),-$B$9)),0)</f>
        <v>0</v>
      </c>
      <c r="D16" s="1">
        <f t="shared" ref="D16:AO16" si="7">IF($B$8&gt;=D12,$B$10-(D13-PV($B$6/12,12*($B$7-D$12),-$B$9)),0)</f>
        <v>0</v>
      </c>
      <c r="E16" s="1">
        <f t="shared" si="7"/>
        <v>0</v>
      </c>
      <c r="F16" s="1">
        <f t="shared" si="7"/>
        <v>0</v>
      </c>
      <c r="G16" s="1">
        <f t="shared" si="7"/>
        <v>0</v>
      </c>
      <c r="H16" s="1">
        <f t="shared" si="7"/>
        <v>0</v>
      </c>
      <c r="I16" s="1">
        <f t="shared" si="7"/>
        <v>0</v>
      </c>
      <c r="J16" s="1">
        <f t="shared" si="7"/>
        <v>0</v>
      </c>
      <c r="K16" s="1">
        <f t="shared" si="7"/>
        <v>0</v>
      </c>
      <c r="L16" s="1">
        <f t="shared" si="7"/>
        <v>0</v>
      </c>
      <c r="M16" s="1">
        <f t="shared" si="7"/>
        <v>0</v>
      </c>
      <c r="N16" s="1">
        <f t="shared" si="7"/>
        <v>0</v>
      </c>
      <c r="O16" s="1">
        <f t="shared" si="7"/>
        <v>0</v>
      </c>
      <c r="P16" s="1">
        <f t="shared" si="7"/>
        <v>0</v>
      </c>
      <c r="Q16" s="1">
        <f t="shared" si="7"/>
        <v>0</v>
      </c>
      <c r="R16" s="1">
        <f t="shared" si="7"/>
        <v>0</v>
      </c>
      <c r="S16" s="1">
        <f t="shared" si="7"/>
        <v>0</v>
      </c>
      <c r="T16" s="1">
        <f t="shared" si="7"/>
        <v>0</v>
      </c>
      <c r="U16" s="1">
        <f t="shared" si="7"/>
        <v>0</v>
      </c>
      <c r="V16" s="1">
        <f t="shared" si="7"/>
        <v>0</v>
      </c>
      <c r="W16" s="1">
        <f t="shared" si="7"/>
        <v>0</v>
      </c>
      <c r="X16" s="1">
        <f t="shared" si="7"/>
        <v>0</v>
      </c>
      <c r="Y16" s="1">
        <f t="shared" si="7"/>
        <v>0</v>
      </c>
      <c r="Z16" s="1">
        <f t="shared" si="7"/>
        <v>0</v>
      </c>
      <c r="AA16" s="1">
        <f t="shared" si="7"/>
        <v>0</v>
      </c>
      <c r="AB16" s="1">
        <f t="shared" si="7"/>
        <v>0</v>
      </c>
      <c r="AC16" s="1">
        <f t="shared" si="7"/>
        <v>0</v>
      </c>
      <c r="AD16" s="1">
        <f t="shared" si="7"/>
        <v>0</v>
      </c>
      <c r="AE16" s="1">
        <f t="shared" si="7"/>
        <v>0</v>
      </c>
      <c r="AF16" s="1">
        <f t="shared" si="7"/>
        <v>0</v>
      </c>
      <c r="AG16" s="1">
        <f t="shared" si="7"/>
        <v>0</v>
      </c>
      <c r="AH16" s="1">
        <f t="shared" si="7"/>
        <v>0</v>
      </c>
      <c r="AI16" s="1">
        <f t="shared" si="7"/>
        <v>0</v>
      </c>
      <c r="AJ16" s="1">
        <f t="shared" si="7"/>
        <v>0</v>
      </c>
      <c r="AK16" s="1">
        <f t="shared" si="7"/>
        <v>0</v>
      </c>
      <c r="AL16" s="1">
        <f t="shared" si="7"/>
        <v>0</v>
      </c>
      <c r="AM16" s="1">
        <f t="shared" si="7"/>
        <v>0</v>
      </c>
      <c r="AN16" s="1">
        <f t="shared" si="7"/>
        <v>0</v>
      </c>
      <c r="AO16" s="1">
        <f t="shared" si="7"/>
        <v>0</v>
      </c>
    </row>
    <row r="17" spans="1:41" x14ac:dyDescent="0.2">
      <c r="A17" s="13" t="s">
        <v>422</v>
      </c>
      <c r="B17" s="1">
        <f>B15+B16</f>
        <v>0</v>
      </c>
      <c r="C17" s="1">
        <f t="shared" ref="C17:R17" si="8">C15+C16</f>
        <v>0</v>
      </c>
      <c r="D17" s="1">
        <f t="shared" si="8"/>
        <v>0</v>
      </c>
      <c r="E17" s="1">
        <f t="shared" si="8"/>
        <v>0</v>
      </c>
      <c r="F17" s="1">
        <f t="shared" si="8"/>
        <v>0</v>
      </c>
      <c r="G17" s="1">
        <f t="shared" si="8"/>
        <v>0</v>
      </c>
      <c r="H17" s="1">
        <f t="shared" si="8"/>
        <v>0</v>
      </c>
      <c r="I17" s="1">
        <f t="shared" si="8"/>
        <v>0</v>
      </c>
      <c r="J17" s="1">
        <f t="shared" si="8"/>
        <v>0</v>
      </c>
      <c r="K17" s="1">
        <f t="shared" si="8"/>
        <v>0</v>
      </c>
      <c r="L17" s="1">
        <f t="shared" si="8"/>
        <v>0</v>
      </c>
      <c r="M17" s="1">
        <f t="shared" si="8"/>
        <v>0</v>
      </c>
      <c r="N17" s="1">
        <f t="shared" si="8"/>
        <v>0</v>
      </c>
      <c r="O17" s="1">
        <f t="shared" si="8"/>
        <v>0</v>
      </c>
      <c r="P17" s="1">
        <f t="shared" si="8"/>
        <v>0</v>
      </c>
      <c r="Q17" s="1">
        <f t="shared" si="8"/>
        <v>0</v>
      </c>
      <c r="R17" s="1">
        <f t="shared" si="8"/>
        <v>0</v>
      </c>
      <c r="S17" s="1">
        <f t="shared" ref="S17:AE17" si="9">S15+S16</f>
        <v>0</v>
      </c>
      <c r="T17" s="1">
        <f t="shared" si="9"/>
        <v>0</v>
      </c>
      <c r="U17" s="1">
        <f t="shared" si="9"/>
        <v>0</v>
      </c>
      <c r="V17" s="1">
        <f t="shared" si="9"/>
        <v>0</v>
      </c>
      <c r="W17" s="1">
        <f t="shared" si="9"/>
        <v>0</v>
      </c>
      <c r="X17" s="1">
        <f t="shared" si="9"/>
        <v>0</v>
      </c>
      <c r="Y17" s="1">
        <f t="shared" si="9"/>
        <v>0</v>
      </c>
      <c r="Z17" s="1">
        <f t="shared" si="9"/>
        <v>0</v>
      </c>
      <c r="AA17" s="1">
        <f t="shared" si="9"/>
        <v>0</v>
      </c>
      <c r="AB17" s="1">
        <f t="shared" si="9"/>
        <v>0</v>
      </c>
      <c r="AC17" s="1">
        <f t="shared" si="9"/>
        <v>0</v>
      </c>
      <c r="AD17" s="1">
        <f t="shared" si="9"/>
        <v>0</v>
      </c>
      <c r="AE17" s="1">
        <f t="shared" si="9"/>
        <v>0</v>
      </c>
      <c r="AF17" s="1">
        <f t="shared" ref="AF17:AO17" si="10">AF15+AF16</f>
        <v>0</v>
      </c>
      <c r="AG17" s="1">
        <f t="shared" si="10"/>
        <v>0</v>
      </c>
      <c r="AH17" s="1">
        <f t="shared" si="10"/>
        <v>0</v>
      </c>
      <c r="AI17" s="1">
        <f t="shared" si="10"/>
        <v>0</v>
      </c>
      <c r="AJ17" s="1">
        <f t="shared" si="10"/>
        <v>0</v>
      </c>
      <c r="AK17" s="1">
        <f t="shared" si="10"/>
        <v>0</v>
      </c>
      <c r="AL17" s="1">
        <f t="shared" si="10"/>
        <v>0</v>
      </c>
      <c r="AM17" s="1">
        <f t="shared" si="10"/>
        <v>0</v>
      </c>
      <c r="AN17" s="1">
        <f t="shared" si="10"/>
        <v>0</v>
      </c>
      <c r="AO17" s="1">
        <f t="shared" si="10"/>
        <v>0</v>
      </c>
    </row>
    <row r="18" spans="1:41" x14ac:dyDescent="0.2">
      <c r="A18" s="1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row>
    <row r="19" spans="1:41" x14ac:dyDescent="0.2">
      <c r="A19" s="13"/>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row>
    <row r="20" spans="1:41" ht="15" x14ac:dyDescent="0.25">
      <c r="A20" s="292" t="str">
        <f>assumptions!A22</f>
        <v>Housing Investments for Vermont (HIVE)</v>
      </c>
    </row>
    <row r="21" spans="1:41" ht="15" x14ac:dyDescent="0.25">
      <c r="A21" s="292"/>
    </row>
    <row r="22" spans="1:41" x14ac:dyDescent="0.2">
      <c r="A22" s="297" t="s">
        <v>413</v>
      </c>
      <c r="B22" s="1">
        <f>assumptions!B22</f>
        <v>0</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row>
    <row r="23" spans="1:41" x14ac:dyDescent="0.2">
      <c r="A23" s="297" t="s">
        <v>414</v>
      </c>
      <c r="B23" s="5">
        <f>assumptions!D22</f>
        <v>0</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row>
    <row r="24" spans="1:41" x14ac:dyDescent="0.2">
      <c r="A24" s="297" t="s">
        <v>415</v>
      </c>
      <c r="B24" s="1">
        <f>assumptions!E22</f>
        <v>0</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row>
    <row r="25" spans="1:41" x14ac:dyDescent="0.2">
      <c r="A25" s="297" t="s">
        <v>416</v>
      </c>
      <c r="B25" s="332">
        <f>IF(assumptions!F22="deferred",0,assumptions!F22)</f>
        <v>0</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row>
    <row r="26" spans="1:41" x14ac:dyDescent="0.2">
      <c r="A26" s="297" t="s">
        <v>417</v>
      </c>
      <c r="B26" s="1">
        <f>IF(B24=0,B22*(B23/12),PMT(B23/12,B24*12,-B22))</f>
        <v>0</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row>
    <row r="27" spans="1:41" x14ac:dyDescent="0.2">
      <c r="A27" s="297" t="s">
        <v>418</v>
      </c>
      <c r="B27" s="1">
        <f>B26*12</f>
        <v>0</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row>
    <row r="28" spans="1:41" x14ac:dyDescent="0.2">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row>
    <row r="29" spans="1:41" x14ac:dyDescent="0.2">
      <c r="A29" s="295" t="s">
        <v>419</v>
      </c>
      <c r="B29" s="294">
        <v>1</v>
      </c>
      <c r="C29" s="294">
        <f t="shared" ref="C29:AE29" si="11">B29+1</f>
        <v>2</v>
      </c>
      <c r="D29" s="294">
        <f t="shared" si="11"/>
        <v>3</v>
      </c>
      <c r="E29" s="294">
        <f t="shared" si="11"/>
        <v>4</v>
      </c>
      <c r="F29" s="294">
        <f t="shared" si="11"/>
        <v>5</v>
      </c>
      <c r="G29" s="294">
        <f t="shared" si="11"/>
        <v>6</v>
      </c>
      <c r="H29" s="294">
        <f t="shared" si="11"/>
        <v>7</v>
      </c>
      <c r="I29" s="294">
        <f t="shared" si="11"/>
        <v>8</v>
      </c>
      <c r="J29" s="294">
        <f t="shared" si="11"/>
        <v>9</v>
      </c>
      <c r="K29" s="294">
        <f t="shared" si="11"/>
        <v>10</v>
      </c>
      <c r="L29" s="294">
        <f t="shared" si="11"/>
        <v>11</v>
      </c>
      <c r="M29" s="294">
        <f t="shared" si="11"/>
        <v>12</v>
      </c>
      <c r="N29" s="294">
        <f t="shared" si="11"/>
        <v>13</v>
      </c>
      <c r="O29" s="294">
        <f t="shared" si="11"/>
        <v>14</v>
      </c>
      <c r="P29" s="294">
        <f t="shared" si="11"/>
        <v>15</v>
      </c>
      <c r="Q29" s="294">
        <f t="shared" si="11"/>
        <v>16</v>
      </c>
      <c r="R29" s="294">
        <f t="shared" si="11"/>
        <v>17</v>
      </c>
      <c r="S29" s="294">
        <f t="shared" si="11"/>
        <v>18</v>
      </c>
      <c r="T29" s="294">
        <f t="shared" si="11"/>
        <v>19</v>
      </c>
      <c r="U29" s="294">
        <f t="shared" si="11"/>
        <v>20</v>
      </c>
      <c r="V29" s="294">
        <f t="shared" si="11"/>
        <v>21</v>
      </c>
      <c r="W29" s="294">
        <f t="shared" si="11"/>
        <v>22</v>
      </c>
      <c r="X29" s="294">
        <f t="shared" si="11"/>
        <v>23</v>
      </c>
      <c r="Y29" s="294">
        <f t="shared" si="11"/>
        <v>24</v>
      </c>
      <c r="Z29" s="294">
        <f t="shared" si="11"/>
        <v>25</v>
      </c>
      <c r="AA29" s="294">
        <f t="shared" si="11"/>
        <v>26</v>
      </c>
      <c r="AB29" s="294">
        <f t="shared" si="11"/>
        <v>27</v>
      </c>
      <c r="AC29" s="294">
        <f t="shared" si="11"/>
        <v>28</v>
      </c>
      <c r="AD29" s="294">
        <f t="shared" si="11"/>
        <v>29</v>
      </c>
      <c r="AE29" s="294">
        <f t="shared" si="11"/>
        <v>30</v>
      </c>
      <c r="AF29" s="294">
        <f t="shared" ref="AF29:AO29" si="12">AE29+1</f>
        <v>31</v>
      </c>
      <c r="AG29" s="294">
        <f t="shared" si="12"/>
        <v>32</v>
      </c>
      <c r="AH29" s="294">
        <f t="shared" si="12"/>
        <v>33</v>
      </c>
      <c r="AI29" s="294">
        <f t="shared" si="12"/>
        <v>34</v>
      </c>
      <c r="AJ29" s="294">
        <f t="shared" si="12"/>
        <v>35</v>
      </c>
      <c r="AK29" s="294">
        <f t="shared" si="12"/>
        <v>36</v>
      </c>
      <c r="AL29" s="294">
        <f t="shared" si="12"/>
        <v>37</v>
      </c>
      <c r="AM29" s="294">
        <f t="shared" si="12"/>
        <v>38</v>
      </c>
      <c r="AN29" s="294">
        <f t="shared" si="12"/>
        <v>39</v>
      </c>
      <c r="AO29" s="294">
        <f t="shared" si="12"/>
        <v>40</v>
      </c>
    </row>
    <row r="30" spans="1:41" x14ac:dyDescent="0.2">
      <c r="A30" s="2" t="s">
        <v>420</v>
      </c>
      <c r="B30" s="1">
        <f>B22</f>
        <v>0</v>
      </c>
      <c r="C30" s="1">
        <f t="shared" ref="C30:AO30" si="13">IF(C29&lt;=$B$25,B31,0)</f>
        <v>0</v>
      </c>
      <c r="D30" s="1">
        <f t="shared" si="13"/>
        <v>0</v>
      </c>
      <c r="E30" s="1">
        <f t="shared" si="13"/>
        <v>0</v>
      </c>
      <c r="F30" s="1">
        <f t="shared" si="13"/>
        <v>0</v>
      </c>
      <c r="G30" s="1">
        <f t="shared" si="13"/>
        <v>0</v>
      </c>
      <c r="H30" s="1">
        <f t="shared" si="13"/>
        <v>0</v>
      </c>
      <c r="I30" s="1">
        <f t="shared" si="13"/>
        <v>0</v>
      </c>
      <c r="J30" s="1">
        <f t="shared" si="13"/>
        <v>0</v>
      </c>
      <c r="K30" s="1">
        <f t="shared" si="13"/>
        <v>0</v>
      </c>
      <c r="L30" s="1">
        <f t="shared" si="13"/>
        <v>0</v>
      </c>
      <c r="M30" s="1">
        <f t="shared" si="13"/>
        <v>0</v>
      </c>
      <c r="N30" s="1">
        <f t="shared" si="13"/>
        <v>0</v>
      </c>
      <c r="O30" s="1">
        <f t="shared" si="13"/>
        <v>0</v>
      </c>
      <c r="P30" s="1">
        <f t="shared" si="13"/>
        <v>0</v>
      </c>
      <c r="Q30" s="1">
        <f t="shared" si="13"/>
        <v>0</v>
      </c>
      <c r="R30" s="1">
        <f t="shared" si="13"/>
        <v>0</v>
      </c>
      <c r="S30" s="1">
        <f t="shared" si="13"/>
        <v>0</v>
      </c>
      <c r="T30" s="1">
        <f t="shared" si="13"/>
        <v>0</v>
      </c>
      <c r="U30" s="1">
        <f t="shared" si="13"/>
        <v>0</v>
      </c>
      <c r="V30" s="1">
        <f t="shared" si="13"/>
        <v>0</v>
      </c>
      <c r="W30" s="1">
        <f t="shared" si="13"/>
        <v>0</v>
      </c>
      <c r="X30" s="1">
        <f t="shared" si="13"/>
        <v>0</v>
      </c>
      <c r="Y30" s="1">
        <f t="shared" si="13"/>
        <v>0</v>
      </c>
      <c r="Z30" s="1">
        <f t="shared" si="13"/>
        <v>0</v>
      </c>
      <c r="AA30" s="1">
        <f t="shared" si="13"/>
        <v>0</v>
      </c>
      <c r="AB30" s="1">
        <f t="shared" si="13"/>
        <v>0</v>
      </c>
      <c r="AC30" s="1">
        <f t="shared" si="13"/>
        <v>0</v>
      </c>
      <c r="AD30" s="1">
        <f t="shared" si="13"/>
        <v>0</v>
      </c>
      <c r="AE30" s="1">
        <f t="shared" si="13"/>
        <v>0</v>
      </c>
      <c r="AF30" s="1">
        <f t="shared" si="13"/>
        <v>0</v>
      </c>
      <c r="AG30" s="1">
        <f t="shared" si="13"/>
        <v>0</v>
      </c>
      <c r="AH30" s="1">
        <f t="shared" si="13"/>
        <v>0</v>
      </c>
      <c r="AI30" s="1">
        <f t="shared" si="13"/>
        <v>0</v>
      </c>
      <c r="AJ30" s="1">
        <f t="shared" si="13"/>
        <v>0</v>
      </c>
      <c r="AK30" s="1">
        <f t="shared" si="13"/>
        <v>0</v>
      </c>
      <c r="AL30" s="1">
        <f t="shared" si="13"/>
        <v>0</v>
      </c>
      <c r="AM30" s="1">
        <f t="shared" si="13"/>
        <v>0</v>
      </c>
      <c r="AN30" s="1">
        <f t="shared" si="13"/>
        <v>0</v>
      </c>
      <c r="AO30" s="1">
        <f t="shared" si="13"/>
        <v>0</v>
      </c>
    </row>
    <row r="31" spans="1:41" x14ac:dyDescent="0.2">
      <c r="A31" s="2" t="s">
        <v>421</v>
      </c>
      <c r="B31" s="1" cm="1">
        <f t="array" ref="B31">_xlfn.IFS(B23=0,B30-B27,B24=0,B30,B24&gt;0,PV($B$23/12,12*($B$24-B$29),-$B$26))</f>
        <v>0</v>
      </c>
      <c r="C31" s="1" cm="1">
        <f t="array" ref="C31">_xlfn.IFS(C$30=0,0,$B$23=0,C30-$B$27,AND($B$25&lt;C29,$B$23&gt;0),0,AND($B$24=0,C29&gt;=$B$24),C30,$B$24=0,C30,$B$24&lt;=C29,0,C29&gt;=$B$25,0,C29&lt;=$B25,PV($B$23/12,12*($B$24-C$29),-$B$26))</f>
        <v>0</v>
      </c>
      <c r="D31" s="1" cm="1">
        <f t="array" ref="D31">_xlfn.IFS(D$30=0,0,$B$23=0,D30-$B$27,AND($B$25&lt;D29,$B$23&gt;0),0,AND($B$24=0,D29&gt;=$B$24),D30,$B$24=0,D30,$B$24&lt;=D29,0,D29&gt;=$B$25,0,D29&lt;=$B25,PV($B$23/12,12*($B$24-D$29),-$B$26))</f>
        <v>0</v>
      </c>
      <c r="E31" s="1" cm="1">
        <f t="array" ref="E31">_xlfn.IFS(E$30=0,0,$B$23=0,E30-$B$27,AND($B$25&lt;E29,$B$23&gt;0),0,AND($B$24=0,E29&gt;=$B$24),E30,$B$24=0,E30,$B$24&lt;=E29,0,E29&gt;=$B$25,0,E29&lt;=$B25,PV($B$23/12,12*($B$24-E$29),-$B$26))</f>
        <v>0</v>
      </c>
      <c r="F31" s="1" cm="1">
        <f t="array" ref="F31">_xlfn.IFS(F$30=0,0,$B$23=0,F30-$B$27,AND($B$25&lt;F29,$B$23&gt;0),0,AND($B$24=0,F29&gt;=$B$24),F30,$B$24=0,F30,$B$24&lt;=F29,0,F29&gt;=$B$25,0,F29&lt;=$B25,PV($B$23/12,12*($B$24-F$29),-$B$26))</f>
        <v>0</v>
      </c>
      <c r="G31" s="1" cm="1">
        <f t="array" ref="G31">_xlfn.IFS(G$30=0,0,$B$23=0,G30-$B$27,AND($B$25&lt;G29,$B$23&gt;0),0,AND($B$24=0,G29&gt;=$B$24),G30,$B$24=0,G30,$B$24&lt;=G29,0,G29&gt;=$B$25,0,G29&lt;=$B25,PV($B$23/12,12*($B$24-G$29),-$B$26))</f>
        <v>0</v>
      </c>
      <c r="H31" s="1" cm="1">
        <f t="array" ref="H31">_xlfn.IFS(H$30=0,0,$B$23=0,H30-$B$27,AND($B$25&lt;H29,$B$23&gt;0),0,AND($B$24=0,H29&gt;=$B$24),H30,$B$24=0,H30,$B$24&lt;=H29,0,H29&gt;=$B$25,0,H29&lt;=$B25,PV($B$23/12,12*($B$24-H$29),-$B$26))</f>
        <v>0</v>
      </c>
      <c r="I31" s="1" cm="1">
        <f t="array" ref="I31">_xlfn.IFS(I$30=0,0,$B$23=0,I30-$B$27,AND($B$25&lt;I29,$B$23&gt;0),0,AND($B$24=0,I29&gt;=$B$24),I30,$B$24=0,I30,$B$24&lt;=I29,0,I29&gt;=$B$25,0,I29&lt;=$B25,PV($B$23/12,12*($B$24-I$29),-$B$26))</f>
        <v>0</v>
      </c>
      <c r="J31" s="1" cm="1">
        <f t="array" ref="J31">_xlfn.IFS(J$30=0,0,$B$23=0,J30-$B$27,AND($B$25&lt;J29,$B$23&gt;0),0,AND($B$24=0,J29&gt;=$B$24),J30,$B$24=0,J30,$B$24&lt;=J29,0,J29&gt;=$B$25,0,J29&lt;=$B25,PV($B$23/12,12*($B$24-J$29),-$B$26))</f>
        <v>0</v>
      </c>
      <c r="K31" s="1" cm="1">
        <f t="array" ref="K31">_xlfn.IFS(K$30=0,0,$B$23=0,K30-$B$27,AND($B$25&lt;K29,$B$23&gt;0),0,AND($B$24=0,K29&gt;=$B$24),K30,$B$24=0,K30,$B$24&lt;=K29,0,K29&gt;=$B$25,0,K29&lt;=$B25,PV($B$23/12,12*($B$24-K$29),-$B$26))</f>
        <v>0</v>
      </c>
      <c r="L31" s="1" cm="1">
        <f t="array" ref="L31">_xlfn.IFS(L$30=0,0,$B$23=0,L30-$B$27,AND($B$25&lt;L29,$B$23&gt;0),0,AND($B$24=0,L29&gt;=$B$24),L30,$B$24=0,L30,$B$24&lt;=L29,0,L29&gt;=$B$25,0,L29&lt;=$B25,PV($B$23/12,12*($B$24-L$29),-$B$26))</f>
        <v>0</v>
      </c>
      <c r="M31" s="1" cm="1">
        <f t="array" ref="M31">_xlfn.IFS(M$30=0,0,$B$23=0,M30-$B$27,AND($B$25&lt;M29,$B$23&gt;0),0,AND($B$24=0,M29&gt;=$B$24),M30,$B$24=0,M30,$B$24&lt;=M29,0,M29&gt;=$B$25,0,M29&lt;=$B25,PV($B$23/12,12*($B$24-M$29),-$B$26))</f>
        <v>0</v>
      </c>
      <c r="N31" s="1" cm="1">
        <f t="array" ref="N31">_xlfn.IFS(N$30=0,0,$B$23=0,N30-$B$27,AND($B$25&lt;N29,$B$23&gt;0),0,AND($B$24=0,N29&gt;=$B$24),N30,$B$24=0,N30,$B$24&lt;=N29,0,N29&gt;=$B$25,0,N29&lt;=$B25,PV($B$23/12,12*($B$24-N$29),-$B$26))</f>
        <v>0</v>
      </c>
      <c r="O31" s="1" cm="1">
        <f t="array" ref="O31">_xlfn.IFS(O$30=0,0,$B$23=0,O30-$B$27,AND($B$25&lt;O29,$B$23&gt;0),0,AND($B$24=0,O29&gt;=$B$24),O30,$B$24=0,O30,$B$24&lt;=O29,0,O29&gt;=$B$25,0,O29&lt;=$B25,PV($B$23/12,12*($B$24-O$29),-$B$26))</f>
        <v>0</v>
      </c>
      <c r="P31" s="1" cm="1">
        <f t="array" ref="P31">_xlfn.IFS(P$30=0,0,$B$23=0,P30-$B$27,AND($B$25&lt;P29,$B$23&gt;0),0,AND($B$24=0,P29&gt;=$B$24),P30,$B$24=0,P30,$B$24&lt;=P29,0,P29&gt;=$B$25,0,P29&lt;=$B25,PV($B$23/12,12*($B$24-P$29),-$B$26))</f>
        <v>0</v>
      </c>
      <c r="Q31" s="1" cm="1">
        <f t="array" ref="Q31">_xlfn.IFS(Q$30=0,0,$B$23=0,Q30-$B$27,AND($B$25&lt;Q29,$B$23&gt;0),0,AND($B$24=0,Q29&gt;=$B$24),Q30,$B$24=0,Q30,$B$24&lt;=Q29,0,Q29&gt;=$B$25,0,Q29&lt;=$B25,PV($B$23/12,12*($B$24-Q$29),-$B$26))</f>
        <v>0</v>
      </c>
      <c r="R31" s="1" cm="1">
        <f t="array" ref="R31">_xlfn.IFS(R$30=0,0,$B$23=0,R30-$B$27,AND($B$25&lt;R29,$B$23&gt;0),0,AND($B$24=0,R29&gt;=$B$24),R30,$B$24=0,R30,$B$24&lt;=R29,0,R29&gt;=$B$25,0,R29&lt;=$B25,PV($B$23/12,12*($B$24-R$29),-$B$26))</f>
        <v>0</v>
      </c>
      <c r="S31" s="1" cm="1">
        <f t="array" ref="S31">_xlfn.IFS(S$30=0,0,$B$23=0,S30-$B$27,AND($B$25&lt;S29,$B$23&gt;0),0,AND($B$24=0,S29&gt;=$B$24),S30,$B$24=0,S30,$B$24&lt;=S29,0,S29&gt;=$B$25,0,S29&lt;=$B25,PV($B$23/12,12*($B$24-S$29),-$B$26))</f>
        <v>0</v>
      </c>
      <c r="T31" s="1" cm="1">
        <f t="array" ref="T31">_xlfn.IFS(T$30=0,0,$B$23=0,T30-$B$27,AND($B$25&lt;T29,$B$23&gt;0),0,AND($B$24=0,T29&gt;=$B$24),T30,$B$24=0,T30,$B$24&lt;=T29,0,T29&gt;=$B$25,0,T29&lt;=$B25,PV($B$23/12,12*($B$24-T$29),-$B$26))</f>
        <v>0</v>
      </c>
      <c r="U31" s="1" cm="1">
        <f t="array" ref="U31">_xlfn.IFS(U$30=0,0,$B$23=0,U30-$B$27,AND($B$25&lt;U29,$B$23&gt;0),0,AND($B$24=0,U29&gt;=$B$24),U30,$B$24=0,U30,$B$24&lt;=U29,0,U29&gt;=$B$25,0,U29&lt;=$B25,PV($B$23/12,12*($B$24-U$29),-$B$26))</f>
        <v>0</v>
      </c>
      <c r="V31" s="1" cm="1">
        <f t="array" ref="V31">_xlfn.IFS(V$30=0,0,$B$23=0,V30-$B$27,AND($B$25&lt;V29,$B$23&gt;0),0,AND($B$24=0,V29&gt;=$B$24),V30,$B$24=0,V30,$B$24&lt;=V29,0,V29&gt;=$B$25,0,V29&lt;=$B25,PV($B$23/12,12*($B$24-V$29),-$B$26))</f>
        <v>0</v>
      </c>
      <c r="W31" s="1" cm="1">
        <f t="array" ref="W31">_xlfn.IFS(W$30=0,0,$B$23=0,W30-$B$27,AND($B$25&lt;W29,$B$23&gt;0),0,AND($B$24=0,W29&gt;=$B$24),W30,$B$24=0,W30,$B$24&lt;=W29,0,W29&gt;=$B$25,0,W29&lt;=$B25,PV($B$23/12,12*($B$24-W$29),-$B$26))</f>
        <v>0</v>
      </c>
      <c r="X31" s="1" cm="1">
        <f t="array" ref="X31">_xlfn.IFS(X$30=0,0,$B$23=0,X30-$B$27,AND($B$25&lt;X29,$B$23&gt;0),0,AND($B$24=0,X29&gt;=$B$24),X30,$B$24=0,X30,$B$24&lt;=X29,0,X29&gt;=$B$25,0,X29&lt;=$B25,PV($B$23/12,12*($B$24-X$29),-$B$26))</f>
        <v>0</v>
      </c>
      <c r="Y31" s="1" cm="1">
        <f t="array" ref="Y31">_xlfn.IFS(Y$30=0,0,$B$23=0,Y30-$B$27,AND($B$25&lt;Y29,$B$23&gt;0),0,AND($B$24=0,Y29&gt;=$B$24),Y30,$B$24=0,Y30,$B$24&lt;=Y29,0,Y29&gt;=$B$25,0,Y29&lt;=$B25,PV($B$23/12,12*($B$24-Y$29),-$B$26))</f>
        <v>0</v>
      </c>
      <c r="Z31" s="1" cm="1">
        <f t="array" ref="Z31">_xlfn.IFS(Z$30=0,0,$B$23=0,Z30-$B$27,AND($B$25&lt;Z29,$B$23&gt;0),0,AND($B$24=0,Z29&gt;=$B$24),Z30,$B$24=0,Z30,$B$24&lt;=Z29,0,Z29&gt;=$B$25,0,Z29&lt;=$B25,PV($B$23/12,12*($B$24-Z$29),-$B$26))</f>
        <v>0</v>
      </c>
      <c r="AA31" s="1" cm="1">
        <f t="array" ref="AA31">_xlfn.IFS(AA$30=0,0,$B$23=0,AA30-$B$27,AND($B$25&lt;AA29,$B$23&gt;0),0,AND($B$24=0,AA29&gt;=$B$24),AA30,$B$24=0,AA30,$B$24&lt;=AA29,0,AA29&gt;=$B$25,0,AA29&lt;=$B25,PV($B$23/12,12*($B$24-AA$29),-$B$26))</f>
        <v>0</v>
      </c>
      <c r="AB31" s="1" cm="1">
        <f t="array" ref="AB31">_xlfn.IFS(AB$30=0,0,$B$23=0,AB30-$B$27,AND($B$25&lt;AB29,$B$23&gt;0),0,AND($B$24=0,AB29&gt;=$B$24),AB30,$B$24=0,AB30,$B$24&lt;=AB29,0,AB29&gt;=$B$25,0,AB29&lt;=$B25,PV($B$23/12,12*($B$24-AB$29),-$B$26))</f>
        <v>0</v>
      </c>
      <c r="AC31" s="1" cm="1">
        <f t="array" ref="AC31">_xlfn.IFS(AC$30=0,0,$B$23=0,AC30-$B$27,AND($B$25&lt;AC29,$B$23&gt;0),0,AND($B$24=0,AC29&gt;=$B$24),AC30,$B$24=0,AC30,$B$24&lt;=AC29,0,AC29&gt;=$B$25,0,AC29&lt;=$B25,PV($B$23/12,12*($B$24-AC$29),-$B$26))</f>
        <v>0</v>
      </c>
      <c r="AD31" s="1" cm="1">
        <f t="array" ref="AD31">_xlfn.IFS(AD$30=0,0,$B$23=0,AD30-$B$27,AND($B$25&lt;AD29,$B$23&gt;0),0,AND($B$24=0,AD29&gt;=$B$24),AD30,$B$24=0,AD30,$B$24&lt;=AD29,0,AD29&gt;=$B$25,0,AD29&lt;=$B25,PV($B$23/12,12*($B$24-AD$29),-$B$26))</f>
        <v>0</v>
      </c>
      <c r="AE31" s="1" cm="1">
        <f t="array" ref="AE31">_xlfn.IFS(AE$30=0,0,$B$23=0,AE30-$B$27,AND($B$25&lt;AE29,$B$23&gt;0),0,AND($B$24=0,AE29&gt;=$B$24),AE30,$B$24=0,AE30,$B$24&lt;=AE29,0,AE29&gt;=$B$25,0,AE29&lt;=$B25,PV($B$23/12,12*($B$24-AE$29),-$B$26))</f>
        <v>0</v>
      </c>
      <c r="AF31" s="1" cm="1">
        <f t="array" ref="AF31">_xlfn.IFS(AF$30=0,0,$B$23=0,AF30-$B$27,AND($B$25&lt;AF29,$B$23&gt;0),0,AND($B$24=0,AF29&gt;=$B$24),AF30,$B$24=0,AF30,$B$24&lt;=AF29,0,AF29&gt;=$B$25,0,AF29&lt;=$B25,PV($B$23/12,12*($B$24-AF$29),-$B$26))</f>
        <v>0</v>
      </c>
      <c r="AG31" s="1" cm="1">
        <f t="array" ref="AG31">_xlfn.IFS(AG$30=0,0,$B$23=0,AG30-$B$27,AND($B$25&lt;AG29,$B$23&gt;0),0,AND($B$24=0,AG29&gt;=$B$24),AG30,$B$24=0,AG30,$B$24&lt;=AG29,0,AG29&gt;=$B$25,0,AG29&lt;=$B25,PV($B$23/12,12*($B$24-AG$29),-$B$26))</f>
        <v>0</v>
      </c>
      <c r="AH31" s="1" cm="1">
        <f t="array" ref="AH31">_xlfn.IFS(AH$30=0,0,$B$23=0,AH30-$B$27,AND($B$25&lt;AH29,$B$23&gt;0),0,AND($B$24=0,AH29&gt;=$B$24),AH30,$B$24=0,AH30,$B$24&lt;=AH29,0,AH29&gt;=$B$25,0,AH29&lt;=$B25,PV($B$23/12,12*($B$24-AH$29),-$B$26))</f>
        <v>0</v>
      </c>
      <c r="AI31" s="1" cm="1">
        <f t="array" ref="AI31">_xlfn.IFS(AI$30=0,0,$B$23=0,AI30-$B$27,AND($B$25&lt;AI29,$B$23&gt;0),0,AND($B$24=0,AI29&gt;=$B$24),AI30,$B$24=0,AI30,$B$24&lt;=AI29,0,AI29&gt;=$B$25,0,AI29&lt;=$B25,PV($B$23/12,12*($B$24-AI$29),-$B$26))</f>
        <v>0</v>
      </c>
      <c r="AJ31" s="1" cm="1">
        <f t="array" ref="AJ31">_xlfn.IFS(AJ$30=0,0,$B$23=0,AJ30-$B$27,AND($B$25&lt;AJ29,$B$23&gt;0),0,AND($B$24=0,AJ29&gt;=$B$24),AJ30,$B$24=0,AJ30,$B$24&lt;=AJ29,0,AJ29&gt;=$B$25,0,AJ29&lt;=$B25,PV($B$23/12,12*($B$24-AJ$29),-$B$26))</f>
        <v>0</v>
      </c>
      <c r="AK31" s="1" cm="1">
        <f t="array" ref="AK31">_xlfn.IFS(AK$30=0,0,$B$23=0,AK30-$B$27,AND($B$25&lt;AK29,$B$23&gt;0),0,AND($B$24=0,AK29&gt;=$B$24),AK30,$B$24=0,AK30,$B$24&lt;=AK29,0,AK29&gt;=$B$25,0,AK29&lt;=$B25,PV($B$23/12,12*($B$24-AK$29),-$B$26))</f>
        <v>0</v>
      </c>
      <c r="AL31" s="1" cm="1">
        <f t="array" ref="AL31">_xlfn.IFS(AL$30=0,0,$B$23=0,AL30-$B$27,AND($B$25&lt;AL29,$B$23&gt;0),0,AND($B$24=0,AL29&gt;=$B$24),AL30,$B$24=0,AL30,$B$24&lt;=AL29,0,AL29&gt;=$B$25,0,AL29&lt;=$B25,PV($B$23/12,12*($B$24-AL$29),-$B$26))</f>
        <v>0</v>
      </c>
      <c r="AM31" s="1" cm="1">
        <f t="array" ref="AM31">_xlfn.IFS(AM$30=0,0,$B$23=0,AM30-$B$27,AND($B$25&lt;AM29,$B$23&gt;0),0,AND($B$24=0,AM29&gt;=$B$24),AM30,$B$24=0,AM30,$B$24&lt;=AM29,0,AM29&gt;=$B$25,0,AM29&lt;=$B25,PV($B$23/12,12*($B$24-AM$29),-$B$26))</f>
        <v>0</v>
      </c>
      <c r="AN31" s="1" cm="1">
        <f t="array" ref="AN31">_xlfn.IFS(AN$30=0,0,$B$23=0,AN30-$B$27,AND($B$25&lt;AN29,$B$23&gt;0),0,AND($B$24=0,AN29&gt;=$B$24),AN30,$B$24=0,AN30,$B$24&lt;=AN29,0,AN29&gt;=$B$25,0,AN29&lt;=$B25,PV($B$23/12,12*($B$24-AN$29),-$B$26))</f>
        <v>0</v>
      </c>
      <c r="AO31" s="1" cm="1">
        <f t="array" ref="AO31">_xlfn.IFS(AO$30=0,0,$B$23=0,AO30-$B$27,AND($B$25&lt;AO29,$B$23&gt;0),0,AND($B$24=0,AO29&gt;=$B$24),AO30,$B$24=0,AO30,$B$24&lt;=AO29,0,AO29&gt;=$B$25,0,AO29&lt;=$B25,PV($B$23/12,12*($B$24-AO$29),-$B$26))</f>
        <v>0</v>
      </c>
    </row>
    <row r="32" spans="1:41" x14ac:dyDescent="0.2">
      <c r="A32" s="2" t="s">
        <v>413</v>
      </c>
      <c r="B32" s="1" cm="1">
        <f t="array" ref="B32">_xlfn.IFS($B$23=0,$B$27,AND($B$23&gt;0,$B$25&lt;B29),0,$B$24=0,0,$B$25&gt;=B29,B30-PV($B$23/12,12*($B$24-B$29),-$B$26))</f>
        <v>0</v>
      </c>
      <c r="C32" s="1" cm="1">
        <f t="array" ref="C32">_xlfn.IFS($B$23=0,C30-C31,$B$24=0,0,C31=0,C30,$B$25=0,0,C29=$B$24,C30,C30&lt;=0,0,C29&lt;=$B$24,C30-PV($B$23/12,12*($B$24-C$29),-$B$26))</f>
        <v>0</v>
      </c>
      <c r="D32" s="1" cm="1">
        <f t="array" ref="D32">_xlfn.IFS($B$23=0,D30-D31,$B$24=0,0,D31=0,D30,$B$25=0,0,D29=$B$24,D30,D30&lt;=0,0,D29&lt;=$B$24,D30-PV($B$23/12,12*($B$24-D$29),-$B$26))</f>
        <v>0</v>
      </c>
      <c r="E32" s="1" cm="1">
        <f t="array" ref="E32">_xlfn.IFS($B$23=0,E30-E31,$B$24=0,0,E31=0,E30,$B$25=0,0,E29=$B$24,E30,E30&lt;=0,0,E29&lt;=$B$24,E30-PV($B$23/12,12*($B$24-E$29),-$B$26))</f>
        <v>0</v>
      </c>
      <c r="F32" s="1" cm="1">
        <f t="array" ref="F32">_xlfn.IFS($B$23=0,F30-F31,$B$24=0,0,F31=0,F30,$B$25=0,0,F29=$B$24,F30,F30&lt;=0,0,F29&lt;=$B$24,F30-PV($B$23/12,12*($B$24-F$29),-$B$26))</f>
        <v>0</v>
      </c>
      <c r="G32" s="1" cm="1">
        <f t="array" ref="G32">_xlfn.IFS($B$23=0,G30-G31,$B$24=0,0,G31=0,G30,$B$25=0,0,G29=$B$24,G30,G30&lt;=0,0,G29&lt;=$B$24,G30-PV($B$23/12,12*($B$24-G$29),-$B$26))</f>
        <v>0</v>
      </c>
      <c r="H32" s="1" cm="1">
        <f t="array" ref="H32">_xlfn.IFS($B$23=0,H30-H31,$B$24=0,0,H31=0,H30,$B$25=0,0,H29=$B$24,H30,H30&lt;=0,0,H29&lt;=$B$24,H30-PV($B$23/12,12*($B$24-H$29),-$B$26))</f>
        <v>0</v>
      </c>
      <c r="I32" s="1" cm="1">
        <f t="array" ref="I32">_xlfn.IFS($B$23=0,I30-I31,$B$24=0,0,I31=0,I30,$B$25=0,0,I29=$B$24,I30,I30&lt;=0,0,I29&lt;=$B$24,I30-PV($B$23/12,12*($B$24-I$29),-$B$26))</f>
        <v>0</v>
      </c>
      <c r="J32" s="1" cm="1">
        <f t="array" ref="J32">_xlfn.IFS($B$23=0,J30-J31,$B$24=0,0,J31=0,J30,$B$25=0,0,J29=$B$24,J30,J30&lt;=0,0,J29&lt;=$B$24,J30-PV($B$23/12,12*($B$24-J$29),-$B$26))</f>
        <v>0</v>
      </c>
      <c r="K32" s="1" cm="1">
        <f t="array" ref="K32">_xlfn.IFS($B$23=0,K30-K31,$B$24=0,0,K31=0,K30,$B$25=0,0,K29=$B$24,K30,K30&lt;=0,0,K29&lt;=$B$24,K30-PV($B$23/12,12*($B$24-K$29),-$B$26))</f>
        <v>0</v>
      </c>
      <c r="L32" s="1" cm="1">
        <f t="array" ref="L32">_xlfn.IFS($B$23=0,L30-L31,$B$24=0,0,L31=0,L30,$B$25=0,0,L29=$B$24,L30,L30&lt;=0,0,L29&lt;=$B$24,L30-PV($B$23/12,12*($B$24-L$29),-$B$26))</f>
        <v>0</v>
      </c>
      <c r="M32" s="1" cm="1">
        <f t="array" ref="M32">_xlfn.IFS($B$23=0,M30-M31,$B$24=0,0,M31=0,M30,$B$25=0,0,M29=$B$24,M30,M30&lt;=0,0,M29&lt;=$B$24,M30-PV($B$23/12,12*($B$24-M$29),-$B$26))</f>
        <v>0</v>
      </c>
      <c r="N32" s="1" cm="1">
        <f t="array" ref="N32">_xlfn.IFS($B$23=0,N30-N31,$B$24=0,0,N31=0,N30,$B$25=0,0,N29=$B$24,N30,N30&lt;=0,0,N29&lt;=$B$24,N30-PV($B$23/12,12*($B$24-N$29),-$B$26))</f>
        <v>0</v>
      </c>
      <c r="O32" s="1" cm="1">
        <f t="array" ref="O32">_xlfn.IFS($B$23=0,O30-O31,$B$24=0,0,O31=0,O30,$B$25=0,0,O29=$B$24,O30,O30&lt;=0,0,O29&lt;=$B$24,O30-PV($B$23/12,12*($B$24-O$29),-$B$26))</f>
        <v>0</v>
      </c>
      <c r="P32" s="1" cm="1">
        <f t="array" ref="P32">_xlfn.IFS($B$23=0,P30-P31,$B$24=0,0,P31=0,P30,$B$25=0,0,P29=$B$24,P30,P30&lt;=0,0,P29&lt;=$B$24,P30-PV($B$23/12,12*($B$24-P$29),-$B$26))</f>
        <v>0</v>
      </c>
      <c r="Q32" s="1" cm="1">
        <f t="array" ref="Q32">_xlfn.IFS($B$23=0,Q30-Q31,$B$24=0,0,Q31=0,Q30,$B$25=0,0,Q29=$B$24,Q30,Q30&lt;=0,0,Q29&lt;=$B$24,Q30-PV($B$23/12,12*($B$24-Q$29),-$B$26))</f>
        <v>0</v>
      </c>
      <c r="R32" s="1" cm="1">
        <f t="array" ref="R32">_xlfn.IFS($B$23=0,R30-R31,$B$24=0,0,R31=0,R30,$B$25=0,0,R29=$B$24,R30,R30&lt;=0,0,R29&lt;=$B$24,R30-PV($B$23/12,12*($B$24-R$29),-$B$26))</f>
        <v>0</v>
      </c>
      <c r="S32" s="1" cm="1">
        <f t="array" ref="S32">_xlfn.IFS($B$23=0,S30-S31,$B$24=0,0,S31=0,S30,$B$25=0,0,S29=$B$24,S30,S30&lt;=0,0,S29&lt;=$B$24,S30-PV($B$23/12,12*($B$24-S$29),-$B$26))</f>
        <v>0</v>
      </c>
      <c r="T32" s="1" cm="1">
        <f t="array" ref="T32">_xlfn.IFS($B$23=0,T30-T31,$B$24=0,0,T31=0,T30,$B$25=0,0,T29=$B$24,T30,T30&lt;=0,0,T29&lt;=$B$24,T30-PV($B$23/12,12*($B$24-T$29),-$B$26))</f>
        <v>0</v>
      </c>
      <c r="U32" s="1" cm="1">
        <f t="array" ref="U32">_xlfn.IFS($B$23=0,U30-U31,$B$24=0,0,U31=0,U30,$B$25=0,0,U29=$B$24,U30,U30&lt;=0,0,U29&lt;=$B$24,U30-PV($B$23/12,12*($B$24-U$29),-$B$26))</f>
        <v>0</v>
      </c>
      <c r="V32" s="1" cm="1">
        <f t="array" ref="V32">_xlfn.IFS($B$23=0,V30-V31,$B$24=0,0,V31=0,V30,$B$25=0,0,V29=$B$24,V30,V30&lt;=0,0,V29&lt;=$B$24,V30-PV($B$23/12,12*($B$24-V$29),-$B$26))</f>
        <v>0</v>
      </c>
      <c r="W32" s="1" cm="1">
        <f t="array" ref="W32">_xlfn.IFS($B$23=0,W30-W31,$B$24=0,0,W31=0,W30,$B$25=0,0,W29=$B$24,W30,W30&lt;=0,0,W29&lt;=$B$24,W30-PV($B$23/12,12*($B$24-W$29),-$B$26))</f>
        <v>0</v>
      </c>
      <c r="X32" s="1" cm="1">
        <f t="array" ref="X32">_xlfn.IFS($B$23=0,X30-X31,$B$24=0,0,X31=0,X30,$B$25=0,0,X29=$B$24,X30,X30&lt;=0,0,X29&lt;=$B$24,X30-PV($B$23/12,12*($B$24-X$29),-$B$26))</f>
        <v>0</v>
      </c>
      <c r="Y32" s="1" cm="1">
        <f t="array" ref="Y32">_xlfn.IFS($B$23=0,Y30-Y31,$B$24=0,0,Y31=0,Y30,$B$25=0,0,Y29=$B$24,Y30,Y30&lt;=0,0,Y29&lt;=$B$24,Y30-PV($B$23/12,12*($B$24-Y$29),-$B$26))</f>
        <v>0</v>
      </c>
      <c r="Z32" s="1" cm="1">
        <f t="array" ref="Z32">_xlfn.IFS($B$23=0,Z30-Z31,$B$24=0,0,Z31=0,Z30,$B$25=0,0,Z29=$B$24,Z30,Z30&lt;=0,0,Z29&lt;=$B$24,Z30-PV($B$23/12,12*($B$24-Z$29),-$B$26))</f>
        <v>0</v>
      </c>
      <c r="AA32" s="1" cm="1">
        <f t="array" ref="AA32">_xlfn.IFS($B$23=0,AA30-AA31,$B$24=0,0,AA31=0,AA30,$B$25=0,0,AA29=$B$24,AA30,AA30&lt;=0,0,AA29&lt;=$B$24,AA30-PV($B$23/12,12*($B$24-AA$29),-$B$26))</f>
        <v>0</v>
      </c>
      <c r="AB32" s="1" cm="1">
        <f t="array" ref="AB32">_xlfn.IFS($B$23=0,AB30-AB31,$B$24=0,0,AB31=0,AB30,$B$25=0,0,AB29=$B$24,AB30,AB30&lt;=0,0,AB29&lt;=$B$24,AB30-PV($B$23/12,12*($B$24-AB$29),-$B$26))</f>
        <v>0</v>
      </c>
      <c r="AC32" s="1" cm="1">
        <f t="array" ref="AC32">_xlfn.IFS($B$23=0,AC30-AC31,$B$24=0,0,AC31=0,AC30,$B$25=0,0,AC29=$B$24,AC30,AC30&lt;=0,0,AC29&lt;=$B$24,AC30-PV($B$23/12,12*($B$24-AC$29),-$B$26))</f>
        <v>0</v>
      </c>
      <c r="AD32" s="1" cm="1">
        <f t="array" ref="AD32">_xlfn.IFS($B$23=0,AD30-AD31,$B$24=0,0,AD31=0,AD30,$B$25=0,0,AD29=$B$24,AD30,AD30&lt;=0,0,AD29&lt;=$B$24,AD30-PV($B$23/12,12*($B$24-AD$29),-$B$26))</f>
        <v>0</v>
      </c>
      <c r="AE32" s="1" cm="1">
        <f t="array" ref="AE32">_xlfn.IFS($B$23=0,AE30-AE31,$B$24=0,0,AE31=0,AE30,$B$25=0,0,AE29=$B$24,AE30,AE30&lt;=0,0,AE29&lt;=$B$24,AE30-PV($B$23/12,12*($B$24-AE$29),-$B$26))</f>
        <v>0</v>
      </c>
      <c r="AF32" s="1" cm="1">
        <f t="array" ref="AF32">_xlfn.IFS($B$23=0,AF30-AF31,$B$24=0,0,AF31=0,AF30,$B$25=0,0,AF29=$B$24,AF30,AF30&lt;=0,0,AF29&lt;=$B$24,AF30-PV($B$23/12,12*($B$24-AF$29),-$B$26))</f>
        <v>0</v>
      </c>
      <c r="AG32" s="1" cm="1">
        <f t="array" ref="AG32">_xlfn.IFS($B$23=0,AG30-AG31,$B$24=0,0,AG31=0,AG30,$B$25=0,0,AG29=$B$24,AG30,AG30&lt;=0,0,AG29&lt;=$B$24,AG30-PV($B$23/12,12*($B$24-AG$29),-$B$26))</f>
        <v>0</v>
      </c>
      <c r="AH32" s="1" cm="1">
        <f t="array" ref="AH32">_xlfn.IFS($B$23=0,AH30-AH31,$B$24=0,0,AH31=0,AH30,$B$25=0,0,AH29=$B$24,AH30,AH30&lt;=0,0,AH29&lt;=$B$24,AH30-PV($B$23/12,12*($B$24-AH$29),-$B$26))</f>
        <v>0</v>
      </c>
      <c r="AI32" s="1" cm="1">
        <f t="array" ref="AI32">_xlfn.IFS($B$23=0,AI30-AI31,$B$24=0,0,AI31=0,AI30,$B$25=0,0,AI29=$B$24,AI30,AI30&lt;=0,0,AI29&lt;=$B$24,AI30-PV($B$23/12,12*($B$24-AI$29),-$B$26))</f>
        <v>0</v>
      </c>
      <c r="AJ32" s="1" cm="1">
        <f t="array" ref="AJ32">_xlfn.IFS($B$23=0,AJ30-AJ31,$B$24=0,0,AJ31=0,AJ30,$B$25=0,0,AJ29=$B$24,AJ30,AJ30&lt;=0,0,AJ29&lt;=$B$24,AJ30-PV($B$23/12,12*($B$24-AJ$29),-$B$26))</f>
        <v>0</v>
      </c>
      <c r="AK32" s="1" cm="1">
        <f t="array" ref="AK32">_xlfn.IFS($B$23=0,AK30-AK31,$B$24=0,0,AK31=0,AK30,$B$25=0,0,AK29=$B$24,AK30,AK30&lt;=0,0,AK29&lt;=$B$24,AK30-PV($B$23/12,12*($B$24-AK$29),-$B$26))</f>
        <v>0</v>
      </c>
      <c r="AL32" s="1" cm="1">
        <f t="array" ref="AL32">_xlfn.IFS($B$23=0,AL30-AL31,$B$24=0,0,AL31=0,AL30,$B$25=0,0,AL29=$B$24,AL30,AL30&lt;=0,0,AL29&lt;=$B$24,AL30-PV($B$23/12,12*($B$24-AL$29),-$B$26))</f>
        <v>0</v>
      </c>
      <c r="AM32" s="1" cm="1">
        <f t="array" ref="AM32">_xlfn.IFS($B$23=0,AM30-AM31,$B$24=0,0,AM31=0,AM30,$B$25=0,0,AM29=$B$24,AM30,AM30&lt;=0,0,AM29&lt;=$B$24,AM30-PV($B$23/12,12*($B$24-AM$29),-$B$26))</f>
        <v>0</v>
      </c>
      <c r="AN32" s="1" cm="1">
        <f t="array" ref="AN32">_xlfn.IFS($B$23=0,AN30-AN31,$B$24=0,0,AN31=0,AN30,$B$25=0,0,AN29=$B$24,AN30,AN30&lt;=0,0,AN29&lt;=$B$24,AN30-PV($B$23/12,12*($B$24-AN$29),-$B$26))</f>
        <v>0</v>
      </c>
      <c r="AO32" s="1" cm="1">
        <f t="array" ref="AO32">_xlfn.IFS($B$23=0,AO30-AO31,$B$24=0,0,AO31=0,AO30,$B$25=0,0,AO29=$B$24,AO30,AO30&lt;=0,0,AO29&lt;=$B$24,AO30-PV($B$23/12,12*($B$24-AO$29),-$B$26))</f>
        <v>0</v>
      </c>
    </row>
    <row r="33" spans="1:41" x14ac:dyDescent="0.2">
      <c r="A33" s="2" t="s">
        <v>414</v>
      </c>
      <c r="B33" s="1">
        <f>IF(B23&gt;0,$B$27-B32,0)</f>
        <v>0</v>
      </c>
      <c r="C33" s="1" cm="1">
        <f t="array" ref="C33">_xlfn.IFS(C$30=0,0,$B$23=0,0,AND(C32=0,$B$27&gt;0),$B$27,C29&lt;=$B$24,$B$27-(C30-PV($B$23/12,12*($B$24-C$29),-$B$26)))</f>
        <v>0</v>
      </c>
      <c r="D33" s="1" cm="1">
        <f t="array" ref="D33">_xlfn.IFS(D$30=0,0,$B$23=0,0,AND(D32=0,$B$27&gt;0),$B$27,D29&lt;=$B$24,$B$27-(D30-PV($B$23/12,12*(-D$29+$B$24),-$B$26)))</f>
        <v>0</v>
      </c>
      <c r="E33" s="1" cm="1">
        <f t="array" ref="E33">_xlfn.IFS(E$30=0,0,$B$23=0,0,AND(E32=0,$B$27&gt;0),$B$27,E29&lt;=$B$24,$B$27-(E30-PV($B$23/12,12*(-E$29+$B$24),-$B$26)))</f>
        <v>0</v>
      </c>
      <c r="F33" s="1" cm="1">
        <f t="array" ref="F33">_xlfn.IFS(F$30=0,0,$B$23=0,0,AND(F32=0,$B$27&gt;0),$B$27,F29&lt;=$B$24,$B$27-(F30-PV($B$23/12,12*(-F$29+$B$24),-$B$26)))</f>
        <v>0</v>
      </c>
      <c r="G33" s="1" cm="1">
        <f t="array" ref="G33">_xlfn.IFS(G$30=0,0,$B$23=0,0,AND(G32=0,$B$27&gt;0),$B$27,G29&lt;=$B$24,$B$27-(G30-PV($B$23/12,12*(-G$29+$B$24),-$B$26)))</f>
        <v>0</v>
      </c>
      <c r="H33" s="1" cm="1">
        <f t="array" ref="H33">_xlfn.IFS(H$30=0,0,$B$23=0,0,AND(H32=0,$B$27&gt;0),$B$27,H29&lt;=$B$24,$B$27-(H30-PV($B$23/12,12*(-H$29+$B$24),-$B$26)))</f>
        <v>0</v>
      </c>
      <c r="I33" s="1" cm="1">
        <f t="array" ref="I33">_xlfn.IFS(I$30=0,0,$B$23=0,0,AND(I32=0,$B$27&gt;0),$B$27,I29&lt;=$B$24,$B$27-(I30-PV($B$23/12,12*(-I$29+$B$24),-$B$26)))</f>
        <v>0</v>
      </c>
      <c r="J33" s="1" cm="1">
        <f t="array" ref="J33">_xlfn.IFS(J$30=0,0,$B$23=0,0,AND(J32=0,$B$27&gt;0),$B$27,J29&lt;=$B$24,$B$27-(J30-PV($B$23/12,12*(-J$29+$B$24),-$B$26)))</f>
        <v>0</v>
      </c>
      <c r="K33" s="1" cm="1">
        <f t="array" ref="K33">_xlfn.IFS(K$30=0,0,$B$23=0,0,AND(K32=0,$B$27&gt;0),$B$27,K29&lt;=$B$24,$B$27-(K30-PV($B$23/12,12*(-K$29+$B$24),-$B$26)))</f>
        <v>0</v>
      </c>
      <c r="L33" s="1" cm="1">
        <f t="array" ref="L33">_xlfn.IFS(L$30=0,0,$B$23=0,0,AND(L32=0,$B$27&gt;0),$B$27,L29&lt;=$B$24,$B$27-(L30-PV($B$23/12,12*(-L$29+$B$24),-$B$26)))</f>
        <v>0</v>
      </c>
      <c r="M33" s="1" cm="1">
        <f t="array" ref="M33">_xlfn.IFS(M$30=0,0,$B$23=0,0,AND(M32=0,$B$27&gt;0),$B$27,M29&lt;=$B$24,$B$27-(M30-PV($B$23/12,12*(-M$29+$B$24),-$B$26)))</f>
        <v>0</v>
      </c>
      <c r="N33" s="1" cm="1">
        <f t="array" ref="N33">_xlfn.IFS(N$30=0,0,$B$23=0,0,AND(N32=0,$B$27&gt;0),$B$27,N29&lt;=$B$24,$B$27-(N30-PV($B$23/12,12*(-N$29+$B$24),-$B$26)))</f>
        <v>0</v>
      </c>
      <c r="O33" s="1" cm="1">
        <f t="array" ref="O33">_xlfn.IFS(O$30=0,0,$B$23=0,0,AND(O32=0,$B$27&gt;0),$B$27,O29&lt;=$B$24,$B$27-(O30-PV($B$23/12,12*(-O$29+$B$24),-$B$26)))</f>
        <v>0</v>
      </c>
      <c r="P33" s="1" cm="1">
        <f t="array" ref="P33">_xlfn.IFS(P$30=0,0,$B$23=0,0,AND(P32=0,$B$27&gt;0),$B$27,P29&lt;=$B$24,$B$27-(P30-PV($B$23/12,12*(-P$29+$B$24),-$B$26)))</f>
        <v>0</v>
      </c>
      <c r="Q33" s="1" cm="1">
        <f t="array" ref="Q33">_xlfn.IFS(Q$30=0,0,$B$23=0,0,AND(Q32=0,$B$27&gt;0),$B$27,Q29&lt;=$B$24,$B$27-(Q30-PV($B$23/12,12*(-Q$29+$B$24),-$B$26)))</f>
        <v>0</v>
      </c>
      <c r="R33" s="1" cm="1">
        <f t="array" ref="R33">_xlfn.IFS(R$30=0,0,$B$23=0,0,AND(R32=0,$B$27&gt;0),$B$27,R29&lt;=$B$24,$B$27-(R30-PV($B$23/12,12*(-R$29+$B$24),-$B$26)))</f>
        <v>0</v>
      </c>
      <c r="S33" s="1" cm="1">
        <f t="array" ref="S33">_xlfn.IFS(S$30=0,0,$B$23=0,0,AND(S32=0,$B$27&gt;0),$B$27,S29&lt;=$B$24,$B$27-(S30-PV($B$23/12,12*(-S$29+$B$24),-$B$26)))</f>
        <v>0</v>
      </c>
      <c r="T33" s="1" cm="1">
        <f t="array" ref="T33">_xlfn.IFS(T$30=0,0,$B$23=0,0,AND(T32=0,$B$27&gt;0),$B$27,T29&lt;=$B$24,$B$27-(T30-PV($B$23/12,12*(-T$29+$B$24),-$B$26)))</f>
        <v>0</v>
      </c>
      <c r="U33" s="1" cm="1">
        <f t="array" ref="U33">_xlfn.IFS(U$30=0,0,$B$23=0,0,AND(U32=0,$B$27&gt;0),$B$27,U29&lt;=$B$24,$B$27-(U30-PV($B$23/12,12*(-U$29+$B$24),-$B$26)))</f>
        <v>0</v>
      </c>
      <c r="V33" s="1" cm="1">
        <f t="array" ref="V33">_xlfn.IFS(V$30=0,0,$B$23=0,0,AND(V32=0,$B$27&gt;0),$B$27,V29&lt;=$B$24,$B$27-(V30-PV($B$23/12,12*(-V$29+$B$24),-$B$26)))</f>
        <v>0</v>
      </c>
      <c r="W33" s="1" cm="1">
        <f t="array" ref="W33">_xlfn.IFS(W$30=0,0,$B$23=0,0,AND(W32=0,$B$27&gt;0),$B$27,W29&lt;=$B$24,$B$27-(W30-PV($B$23/12,12*(-W$29+$B$24),-$B$26)))</f>
        <v>0</v>
      </c>
      <c r="X33" s="1" cm="1">
        <f t="array" ref="X33">_xlfn.IFS(X$30=0,0,$B$23=0,0,AND(X32=0,$B$27&gt;0),$B$27,X29&lt;=$B$24,$B$27-(X30-PV($B$23/12,12*(-X$29+$B$24),-$B$26)))</f>
        <v>0</v>
      </c>
      <c r="Y33" s="1" cm="1">
        <f t="array" ref="Y33">_xlfn.IFS(Y$30=0,0,$B$23=0,0,AND(Y32=0,$B$27&gt;0),$B$27,Y29&lt;=$B$24,$B$27-(Y30-PV($B$23/12,12*(-Y$29+$B$24),-$B$26)))</f>
        <v>0</v>
      </c>
      <c r="Z33" s="1" cm="1">
        <f t="array" ref="Z33">_xlfn.IFS(Z$30=0,0,$B$23=0,0,AND(Z32=0,$B$27&gt;0),$B$27,Z29&lt;=$B$24,$B$27-(Z30-PV($B$23/12,12*(-Z$29+$B$24),-$B$26)))</f>
        <v>0</v>
      </c>
      <c r="AA33" s="1" cm="1">
        <f t="array" ref="AA33">_xlfn.IFS(AA$30=0,0,$B$23=0,0,AND(AA32=0,$B$27&gt;0),$B$27,AA29&lt;=$B$24,$B$27-(AA30-PV($B$23/12,12*(-AA$29+$B$24),-$B$26)))</f>
        <v>0</v>
      </c>
      <c r="AB33" s="1" cm="1">
        <f t="array" ref="AB33">_xlfn.IFS(AB$30=0,0,$B$23=0,0,AND(AB32=0,$B$27&gt;0),$B$27,AB29&lt;=$B$24,$B$27-(AB30-PV($B$23/12,12*(-AB$29+$B$24),-$B$26)))</f>
        <v>0</v>
      </c>
      <c r="AC33" s="1" cm="1">
        <f t="array" ref="AC33">_xlfn.IFS(AC$30=0,0,$B$23=0,0,AND(AC32=0,$B$27&gt;0),$B$27,AC29&lt;=$B$24,$B$27-(AC30-PV($B$23/12,12*(-AC$29+$B$24),-$B$26)))</f>
        <v>0</v>
      </c>
      <c r="AD33" s="1" cm="1">
        <f t="array" ref="AD33">_xlfn.IFS(AD$30=0,0,$B$23=0,0,AND(AD32=0,$B$27&gt;0),$B$27,AD29&lt;=$B$24,$B$27-(AD30-PV($B$23/12,12*(-AD$29+$B$24),-$B$26)))</f>
        <v>0</v>
      </c>
      <c r="AE33" s="1" cm="1">
        <f t="array" ref="AE33">_xlfn.IFS(AE$30=0,0,$B$23=0,0,AND(AE32=0,$B$27&gt;0),$B$27,AE29&lt;=$B$24,$B$27-(AE30-PV($B$23/12,12*(-AE$29+$B$24),-$B$26)))</f>
        <v>0</v>
      </c>
      <c r="AF33" s="1" cm="1">
        <f t="array" ref="AF33">_xlfn.IFS(AF$30=0,0,$B$23=0,0,AND(AF32=0,$B$27&gt;0),$B$27,AF29&lt;=$B$24,$B$27-(AF30-PV($B$23/12,12*(-AF$29+$B$24),-$B$26)))</f>
        <v>0</v>
      </c>
      <c r="AG33" s="1" cm="1">
        <f t="array" ref="AG33">_xlfn.IFS(AG$30=0,0,$B$23=0,0,AND(AG32=0,$B$27&gt;0),$B$27,AG29&lt;=$B$24,$B$27-(AG30-PV($B$23/12,12*(-AG$29+$B$24),-$B$26)))</f>
        <v>0</v>
      </c>
      <c r="AH33" s="1" cm="1">
        <f t="array" ref="AH33">_xlfn.IFS(AH$30=0,0,$B$23=0,0,AND(AH32=0,$B$27&gt;0),$B$27,AH29&lt;=$B$24,$B$27-(AH30-PV($B$23/12,12*(-AH$29+$B$24),-$B$26)))</f>
        <v>0</v>
      </c>
      <c r="AI33" s="1" cm="1">
        <f t="array" ref="AI33">_xlfn.IFS(AI$30=0,0,$B$23=0,0,AND(AI32=0,$B$27&gt;0),$B$27,AI29&lt;=$B$24,$B$27-(AI30-PV($B$23/12,12*(-AI$29+$B$24),-$B$26)))</f>
        <v>0</v>
      </c>
      <c r="AJ33" s="1" cm="1">
        <f t="array" ref="AJ33">_xlfn.IFS(AJ$30=0,0,$B$23=0,0,AND(AJ32=0,$B$27&gt;0),$B$27,AJ29&lt;=$B$24,$B$27-(AJ30-PV($B$23/12,12*(-AJ$29+$B$24),-$B$26)))</f>
        <v>0</v>
      </c>
      <c r="AK33" s="1" cm="1">
        <f t="array" ref="AK33">_xlfn.IFS(AK$30=0,0,$B$23=0,0,AND(AK32=0,$B$27&gt;0),$B$27,AK29&lt;=$B$24,$B$27-(AK30-PV($B$23/12,12*(-AK$29+$B$24),-$B$26)))</f>
        <v>0</v>
      </c>
      <c r="AL33" s="1" cm="1">
        <f t="array" ref="AL33">_xlfn.IFS(AL$30=0,0,$B$23=0,0,AND(AL32=0,$B$27&gt;0),$B$27,AL29&lt;=$B$24,$B$27-(AL30-PV($B$23/12,12*(-AL$29+$B$24),-$B$26)))</f>
        <v>0</v>
      </c>
      <c r="AM33" s="1" cm="1">
        <f t="array" ref="AM33">_xlfn.IFS(AM$30=0,0,$B$23=0,0,AND(AM32=0,$B$27&gt;0),$B$27,AM29&lt;=$B$24,$B$27-(AM30-PV($B$23/12,12*(-AM$29+$B$24),-$B$26)))</f>
        <v>0</v>
      </c>
      <c r="AN33" s="1" cm="1">
        <f t="array" ref="AN33">_xlfn.IFS(AN$30=0,0,$B$23=0,0,AND(AN32=0,$B$27&gt;0),$B$27,AN29&lt;=$B$24,$B$27-(AN30-PV($B$23/12,12*(-AN$29+$B$24),-$B$26)))</f>
        <v>0</v>
      </c>
      <c r="AO33" s="1" cm="1">
        <f t="array" ref="AO33">_xlfn.IFS(AO$30=0,0,$B$23=0,0,AND(AO32=0,$B$27&gt;0),$B$27,AO29&lt;=$B$24,$B$27-(AO30-PV($B$23/12,12*(-AO$29+$B$24),-$B$26)))</f>
        <v>0</v>
      </c>
    </row>
    <row r="34" spans="1:41" x14ac:dyDescent="0.2">
      <c r="A34" s="2" t="s">
        <v>422</v>
      </c>
      <c r="B34" s="1">
        <f>B32+B33</f>
        <v>0</v>
      </c>
      <c r="C34" s="1">
        <f t="shared" ref="C34" si="14">C32+C33</f>
        <v>0</v>
      </c>
      <c r="D34" s="1">
        <f t="shared" ref="D34:AE34" si="15">D32+D33</f>
        <v>0</v>
      </c>
      <c r="E34" s="1">
        <f t="shared" si="15"/>
        <v>0</v>
      </c>
      <c r="F34" s="1">
        <f t="shared" si="15"/>
        <v>0</v>
      </c>
      <c r="G34" s="1">
        <f t="shared" si="15"/>
        <v>0</v>
      </c>
      <c r="H34" s="1">
        <f t="shared" si="15"/>
        <v>0</v>
      </c>
      <c r="I34" s="1">
        <f t="shared" si="15"/>
        <v>0</v>
      </c>
      <c r="J34" s="1">
        <f t="shared" si="15"/>
        <v>0</v>
      </c>
      <c r="K34" s="1">
        <f t="shared" si="15"/>
        <v>0</v>
      </c>
      <c r="L34" s="1">
        <f t="shared" si="15"/>
        <v>0</v>
      </c>
      <c r="M34" s="1">
        <f t="shared" si="15"/>
        <v>0</v>
      </c>
      <c r="N34" s="1">
        <f t="shared" si="15"/>
        <v>0</v>
      </c>
      <c r="O34" s="1">
        <f t="shared" si="15"/>
        <v>0</v>
      </c>
      <c r="P34" s="1">
        <f t="shared" si="15"/>
        <v>0</v>
      </c>
      <c r="Q34" s="1">
        <f t="shared" si="15"/>
        <v>0</v>
      </c>
      <c r="R34" s="1">
        <f t="shared" si="15"/>
        <v>0</v>
      </c>
      <c r="S34" s="1">
        <f t="shared" si="15"/>
        <v>0</v>
      </c>
      <c r="T34" s="1">
        <f t="shared" si="15"/>
        <v>0</v>
      </c>
      <c r="U34" s="1">
        <f t="shared" si="15"/>
        <v>0</v>
      </c>
      <c r="V34" s="1">
        <f t="shared" si="15"/>
        <v>0</v>
      </c>
      <c r="W34" s="1">
        <f t="shared" si="15"/>
        <v>0</v>
      </c>
      <c r="X34" s="1">
        <f t="shared" si="15"/>
        <v>0</v>
      </c>
      <c r="Y34" s="1">
        <f t="shared" si="15"/>
        <v>0</v>
      </c>
      <c r="Z34" s="1">
        <f t="shared" si="15"/>
        <v>0</v>
      </c>
      <c r="AA34" s="1">
        <f t="shared" si="15"/>
        <v>0</v>
      </c>
      <c r="AB34" s="1">
        <f t="shared" si="15"/>
        <v>0</v>
      </c>
      <c r="AC34" s="1">
        <f t="shared" si="15"/>
        <v>0</v>
      </c>
      <c r="AD34" s="1">
        <f t="shared" si="15"/>
        <v>0</v>
      </c>
      <c r="AE34" s="1">
        <f t="shared" si="15"/>
        <v>0</v>
      </c>
      <c r="AF34" s="1">
        <f t="shared" ref="AF34:AO34" si="16">AF32+AF33</f>
        <v>0</v>
      </c>
      <c r="AG34" s="1">
        <f t="shared" si="16"/>
        <v>0</v>
      </c>
      <c r="AH34" s="1">
        <f t="shared" si="16"/>
        <v>0</v>
      </c>
      <c r="AI34" s="1">
        <f t="shared" si="16"/>
        <v>0</v>
      </c>
      <c r="AJ34" s="1">
        <f t="shared" si="16"/>
        <v>0</v>
      </c>
      <c r="AK34" s="1">
        <f t="shared" si="16"/>
        <v>0</v>
      </c>
      <c r="AL34" s="1">
        <f t="shared" si="16"/>
        <v>0</v>
      </c>
      <c r="AM34" s="1">
        <f t="shared" si="16"/>
        <v>0</v>
      </c>
      <c r="AN34" s="1">
        <f t="shared" si="16"/>
        <v>0</v>
      </c>
      <c r="AO34" s="1">
        <f t="shared" si="16"/>
        <v>0</v>
      </c>
    </row>
    <row r="35" spans="1:41" outlineLevel="1" x14ac:dyDescent="0.2">
      <c r="A35" s="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row>
    <row r="36" spans="1:41" outlineLevel="1" x14ac:dyDescent="0.2">
      <c r="A36" s="13"/>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row>
    <row r="37" spans="1:41" ht="15" outlineLevel="1" x14ac:dyDescent="0.25">
      <c r="A37" s="292" t="str">
        <f>assumptions!A23</f>
        <v>[Additional Field - Specify] (Amortizing)</v>
      </c>
    </row>
    <row r="38" spans="1:41" ht="15" outlineLevel="1" x14ac:dyDescent="0.25">
      <c r="A38" s="292"/>
    </row>
    <row r="39" spans="1:41" outlineLevel="1" x14ac:dyDescent="0.2">
      <c r="A39" s="296" t="s">
        <v>413</v>
      </c>
      <c r="B39" s="1">
        <f>assumptions!B23</f>
        <v>0</v>
      </c>
    </row>
    <row r="40" spans="1:41" outlineLevel="1" x14ac:dyDescent="0.2">
      <c r="A40" s="296" t="s">
        <v>414</v>
      </c>
      <c r="B40" s="5">
        <f>assumptions!D23</f>
        <v>0</v>
      </c>
    </row>
    <row r="41" spans="1:41" outlineLevel="1" x14ac:dyDescent="0.2">
      <c r="A41" s="296" t="s">
        <v>415</v>
      </c>
      <c r="B41" s="1">
        <f>assumptions!E23</f>
        <v>0</v>
      </c>
    </row>
    <row r="42" spans="1:41" outlineLevel="1" x14ac:dyDescent="0.2">
      <c r="A42" s="296" t="s">
        <v>416</v>
      </c>
      <c r="B42" s="1">
        <f>assumptions!F23</f>
        <v>0</v>
      </c>
    </row>
    <row r="43" spans="1:41" outlineLevel="1" x14ac:dyDescent="0.2">
      <c r="A43" s="296" t="s">
        <v>417</v>
      </c>
      <c r="B43" s="1">
        <f>IF(B39=0,0,PMT(B40/12,B41*12,-B39))</f>
        <v>0</v>
      </c>
    </row>
    <row r="44" spans="1:41" outlineLevel="1" x14ac:dyDescent="0.2">
      <c r="A44" s="296" t="s">
        <v>418</v>
      </c>
      <c r="B44" s="1">
        <f>B43*12</f>
        <v>0</v>
      </c>
    </row>
    <row r="45" spans="1:41" outlineLevel="1" x14ac:dyDescent="0.2"/>
    <row r="46" spans="1:41" outlineLevel="1" x14ac:dyDescent="0.2">
      <c r="A46" s="295" t="s">
        <v>419</v>
      </c>
      <c r="B46" s="294">
        <v>1</v>
      </c>
      <c r="C46" s="294">
        <f t="shared" ref="C46" si="17">B46+1</f>
        <v>2</v>
      </c>
      <c r="D46" s="294">
        <f t="shared" ref="D46" si="18">C46+1</f>
        <v>3</v>
      </c>
      <c r="E46" s="294">
        <f t="shared" ref="E46" si="19">D46+1</f>
        <v>4</v>
      </c>
      <c r="F46" s="294">
        <f t="shared" ref="F46" si="20">E46+1</f>
        <v>5</v>
      </c>
      <c r="G46" s="294">
        <f t="shared" ref="G46" si="21">F46+1</f>
        <v>6</v>
      </c>
      <c r="H46" s="294">
        <f t="shared" ref="H46" si="22">G46+1</f>
        <v>7</v>
      </c>
      <c r="I46" s="294">
        <f t="shared" ref="I46" si="23">H46+1</f>
        <v>8</v>
      </c>
      <c r="J46" s="294">
        <f t="shared" ref="J46" si="24">I46+1</f>
        <v>9</v>
      </c>
      <c r="K46" s="294">
        <f t="shared" ref="K46" si="25">J46+1</f>
        <v>10</v>
      </c>
      <c r="L46" s="294">
        <f t="shared" ref="L46" si="26">K46+1</f>
        <v>11</v>
      </c>
      <c r="M46" s="294">
        <f t="shared" ref="M46" si="27">L46+1</f>
        <v>12</v>
      </c>
      <c r="N46" s="294">
        <f t="shared" ref="N46" si="28">M46+1</f>
        <v>13</v>
      </c>
      <c r="O46" s="294">
        <f t="shared" ref="O46" si="29">N46+1</f>
        <v>14</v>
      </c>
      <c r="P46" s="294">
        <f t="shared" ref="P46" si="30">O46+1</f>
        <v>15</v>
      </c>
      <c r="Q46" s="294">
        <f t="shared" ref="Q46" si="31">P46+1</f>
        <v>16</v>
      </c>
      <c r="R46" s="294">
        <f t="shared" ref="R46" si="32">Q46+1</f>
        <v>17</v>
      </c>
      <c r="S46" s="294">
        <f t="shared" ref="S46" si="33">R46+1</f>
        <v>18</v>
      </c>
      <c r="T46" s="294">
        <f t="shared" ref="T46" si="34">S46+1</f>
        <v>19</v>
      </c>
      <c r="U46" s="294">
        <f t="shared" ref="U46" si="35">T46+1</f>
        <v>20</v>
      </c>
      <c r="V46" s="294">
        <f t="shared" ref="V46" si="36">U46+1</f>
        <v>21</v>
      </c>
      <c r="W46" s="294">
        <f t="shared" ref="W46" si="37">V46+1</f>
        <v>22</v>
      </c>
      <c r="X46" s="294">
        <f t="shared" ref="X46" si="38">W46+1</f>
        <v>23</v>
      </c>
      <c r="Y46" s="294">
        <f t="shared" ref="Y46" si="39">X46+1</f>
        <v>24</v>
      </c>
      <c r="Z46" s="294">
        <f t="shared" ref="Z46" si="40">Y46+1</f>
        <v>25</v>
      </c>
      <c r="AA46" s="294">
        <f t="shared" ref="AA46" si="41">Z46+1</f>
        <v>26</v>
      </c>
      <c r="AB46" s="294">
        <f t="shared" ref="AB46" si="42">AA46+1</f>
        <v>27</v>
      </c>
      <c r="AC46" s="294">
        <f t="shared" ref="AC46" si="43">AB46+1</f>
        <v>28</v>
      </c>
      <c r="AD46" s="294">
        <f t="shared" ref="AD46" si="44">AC46+1</f>
        <v>29</v>
      </c>
      <c r="AE46" s="294">
        <f t="shared" ref="AE46" si="45">AD46+1</f>
        <v>30</v>
      </c>
      <c r="AF46" s="294">
        <f t="shared" ref="AF46" si="46">AE46+1</f>
        <v>31</v>
      </c>
      <c r="AG46" s="294">
        <f t="shared" ref="AG46" si="47">AF46+1</f>
        <v>32</v>
      </c>
      <c r="AH46" s="294">
        <f t="shared" ref="AH46" si="48">AG46+1</f>
        <v>33</v>
      </c>
      <c r="AI46" s="294">
        <f t="shared" ref="AI46" si="49">AH46+1</f>
        <v>34</v>
      </c>
      <c r="AJ46" s="294">
        <f t="shared" ref="AJ46" si="50">AI46+1</f>
        <v>35</v>
      </c>
      <c r="AK46" s="294">
        <f t="shared" ref="AK46" si="51">AJ46+1</f>
        <v>36</v>
      </c>
      <c r="AL46" s="294">
        <f t="shared" ref="AL46" si="52">AK46+1</f>
        <v>37</v>
      </c>
      <c r="AM46" s="294">
        <f t="shared" ref="AM46" si="53">AL46+1</f>
        <v>38</v>
      </c>
      <c r="AN46" s="294">
        <f t="shared" ref="AN46" si="54">AM46+1</f>
        <v>39</v>
      </c>
      <c r="AO46" s="294">
        <f t="shared" ref="AO46" si="55">AN46+1</f>
        <v>40</v>
      </c>
    </row>
    <row r="47" spans="1:41" outlineLevel="1" x14ac:dyDescent="0.2">
      <c r="A47" s="13" t="s">
        <v>420</v>
      </c>
      <c r="B47" s="1">
        <f>B39</f>
        <v>0</v>
      </c>
      <c r="C47" s="1">
        <f>B48</f>
        <v>0</v>
      </c>
      <c r="D47" s="1">
        <f t="shared" ref="D47" si="56">C48</f>
        <v>0</v>
      </c>
      <c r="E47" s="1">
        <f t="shared" ref="E47" si="57">D48</f>
        <v>0</v>
      </c>
      <c r="F47" s="1">
        <f>E48</f>
        <v>0</v>
      </c>
      <c r="G47" s="1">
        <f t="shared" ref="G47" si="58">F48</f>
        <v>0</v>
      </c>
      <c r="H47" s="1">
        <f t="shared" ref="H47" si="59">G48</f>
        <v>0</v>
      </c>
      <c r="I47" s="1">
        <f t="shared" ref="I47" si="60">H48</f>
        <v>0</v>
      </c>
      <c r="J47" s="1">
        <f t="shared" ref="J47" si="61">I48</f>
        <v>0</v>
      </c>
      <c r="K47" s="1">
        <f t="shared" ref="K47" si="62">J48</f>
        <v>0</v>
      </c>
      <c r="L47" s="1">
        <f t="shared" ref="L47" si="63">K48</f>
        <v>0</v>
      </c>
      <c r="M47" s="1">
        <f t="shared" ref="M47" si="64">L48</f>
        <v>0</v>
      </c>
      <c r="N47" s="1">
        <f t="shared" ref="N47" si="65">M48</f>
        <v>0</v>
      </c>
      <c r="O47" s="1">
        <f t="shared" ref="O47" si="66">N48</f>
        <v>0</v>
      </c>
      <c r="P47" s="1">
        <f t="shared" ref="P47" si="67">O48</f>
        <v>0</v>
      </c>
      <c r="Q47" s="1">
        <f t="shared" ref="Q47" si="68">P48</f>
        <v>0</v>
      </c>
      <c r="R47" s="1">
        <f t="shared" ref="R47" si="69">Q48</f>
        <v>0</v>
      </c>
      <c r="S47" s="1">
        <f t="shared" ref="S47" si="70">R48</f>
        <v>0</v>
      </c>
      <c r="T47" s="1">
        <f t="shared" ref="T47" si="71">S48</f>
        <v>0</v>
      </c>
      <c r="U47" s="1">
        <f t="shared" ref="U47" si="72">T48</f>
        <v>0</v>
      </c>
      <c r="V47" s="1">
        <f t="shared" ref="V47" si="73">U48</f>
        <v>0</v>
      </c>
      <c r="W47" s="1">
        <f t="shared" ref="W47" si="74">V48</f>
        <v>0</v>
      </c>
      <c r="X47" s="1">
        <f t="shared" ref="X47" si="75">W48</f>
        <v>0</v>
      </c>
      <c r="Y47" s="1">
        <f t="shared" ref="Y47" si="76">X48</f>
        <v>0</v>
      </c>
      <c r="Z47" s="1">
        <f t="shared" ref="Z47" si="77">Y48</f>
        <v>0</v>
      </c>
      <c r="AA47" s="1">
        <f t="shared" ref="AA47" si="78">Z48</f>
        <v>0</v>
      </c>
      <c r="AB47" s="1">
        <f t="shared" ref="AB47" si="79">AA48</f>
        <v>0</v>
      </c>
      <c r="AC47" s="1">
        <f t="shared" ref="AC47" si="80">AB48</f>
        <v>0</v>
      </c>
      <c r="AD47" s="1">
        <f t="shared" ref="AD47" si="81">AC48</f>
        <v>0</v>
      </c>
      <c r="AE47" s="1">
        <f t="shared" ref="AE47" si="82">AD48</f>
        <v>0</v>
      </c>
      <c r="AF47" s="1">
        <f t="shared" ref="AF47" si="83">AE48</f>
        <v>0</v>
      </c>
      <c r="AG47" s="1">
        <f t="shared" ref="AG47" si="84">AF48</f>
        <v>0</v>
      </c>
      <c r="AH47" s="1">
        <f t="shared" ref="AH47" si="85">AG48</f>
        <v>0</v>
      </c>
      <c r="AI47" s="1">
        <f t="shared" ref="AI47" si="86">AH48</f>
        <v>0</v>
      </c>
      <c r="AJ47" s="1">
        <f t="shared" ref="AJ47" si="87">AI48</f>
        <v>0</v>
      </c>
      <c r="AK47" s="1">
        <f t="shared" ref="AK47" si="88">AJ48</f>
        <v>0</v>
      </c>
      <c r="AL47" s="1">
        <f t="shared" ref="AL47" si="89">AK48</f>
        <v>0</v>
      </c>
      <c r="AM47" s="1">
        <f t="shared" ref="AM47" si="90">AL48</f>
        <v>0</v>
      </c>
      <c r="AN47" s="1">
        <f t="shared" ref="AN47" si="91">AM48</f>
        <v>0</v>
      </c>
      <c r="AO47" s="1">
        <f t="shared" ref="AO47" si="92">AN48</f>
        <v>0</v>
      </c>
    </row>
    <row r="48" spans="1:41" outlineLevel="1" x14ac:dyDescent="0.2">
      <c r="A48" s="13" t="s">
        <v>421</v>
      </c>
      <c r="B48" s="1">
        <f>PV($B$40/12,12*($B$41-B$46),-$B$43)</f>
        <v>0</v>
      </c>
      <c r="C48" s="1">
        <f>IF($B$42&lt;=C46,0,PV($B$40/12,12*($B$41-C$46),-$B$43))</f>
        <v>0</v>
      </c>
      <c r="D48" s="1">
        <f t="shared" ref="D48:AO48" si="93">IF($B$42&lt;=D$46,0,PV($B$40/12,12*($B$41-D$46),-$B$43))</f>
        <v>0</v>
      </c>
      <c r="E48" s="1">
        <f t="shared" si="93"/>
        <v>0</v>
      </c>
      <c r="F48" s="1">
        <f t="shared" si="93"/>
        <v>0</v>
      </c>
      <c r="G48" s="1">
        <f t="shared" si="93"/>
        <v>0</v>
      </c>
      <c r="H48" s="1">
        <f t="shared" si="93"/>
        <v>0</v>
      </c>
      <c r="I48" s="1">
        <f t="shared" si="93"/>
        <v>0</v>
      </c>
      <c r="J48" s="1">
        <f t="shared" si="93"/>
        <v>0</v>
      </c>
      <c r="K48" s="1">
        <f t="shared" si="93"/>
        <v>0</v>
      </c>
      <c r="L48" s="1">
        <f t="shared" si="93"/>
        <v>0</v>
      </c>
      <c r="M48" s="1">
        <f t="shared" si="93"/>
        <v>0</v>
      </c>
      <c r="N48" s="1">
        <f t="shared" si="93"/>
        <v>0</v>
      </c>
      <c r="O48" s="1">
        <f t="shared" si="93"/>
        <v>0</v>
      </c>
      <c r="P48" s="1">
        <f t="shared" si="93"/>
        <v>0</v>
      </c>
      <c r="Q48" s="1">
        <f t="shared" si="93"/>
        <v>0</v>
      </c>
      <c r="R48" s="1">
        <f t="shared" si="93"/>
        <v>0</v>
      </c>
      <c r="S48" s="1">
        <f t="shared" si="93"/>
        <v>0</v>
      </c>
      <c r="T48" s="1">
        <f t="shared" si="93"/>
        <v>0</v>
      </c>
      <c r="U48" s="1">
        <f t="shared" si="93"/>
        <v>0</v>
      </c>
      <c r="V48" s="1">
        <f t="shared" si="93"/>
        <v>0</v>
      </c>
      <c r="W48" s="1">
        <f t="shared" si="93"/>
        <v>0</v>
      </c>
      <c r="X48" s="1">
        <f t="shared" si="93"/>
        <v>0</v>
      </c>
      <c r="Y48" s="1">
        <f t="shared" si="93"/>
        <v>0</v>
      </c>
      <c r="Z48" s="1">
        <f t="shared" si="93"/>
        <v>0</v>
      </c>
      <c r="AA48" s="1">
        <f t="shared" si="93"/>
        <v>0</v>
      </c>
      <c r="AB48" s="1">
        <f t="shared" si="93"/>
        <v>0</v>
      </c>
      <c r="AC48" s="1">
        <f t="shared" si="93"/>
        <v>0</v>
      </c>
      <c r="AD48" s="1">
        <f t="shared" si="93"/>
        <v>0</v>
      </c>
      <c r="AE48" s="1">
        <f t="shared" si="93"/>
        <v>0</v>
      </c>
      <c r="AF48" s="1">
        <f t="shared" si="93"/>
        <v>0</v>
      </c>
      <c r="AG48" s="1">
        <f t="shared" si="93"/>
        <v>0</v>
      </c>
      <c r="AH48" s="1">
        <f t="shared" si="93"/>
        <v>0</v>
      </c>
      <c r="AI48" s="1">
        <f t="shared" si="93"/>
        <v>0</v>
      </c>
      <c r="AJ48" s="1">
        <f t="shared" si="93"/>
        <v>0</v>
      </c>
      <c r="AK48" s="1">
        <f t="shared" si="93"/>
        <v>0</v>
      </c>
      <c r="AL48" s="1">
        <f t="shared" si="93"/>
        <v>0</v>
      </c>
      <c r="AM48" s="1">
        <f t="shared" si="93"/>
        <v>0</v>
      </c>
      <c r="AN48" s="1">
        <f t="shared" si="93"/>
        <v>0</v>
      </c>
      <c r="AO48" s="1">
        <f t="shared" si="93"/>
        <v>0</v>
      </c>
    </row>
    <row r="49" spans="1:41" outlineLevel="1" x14ac:dyDescent="0.2">
      <c r="A49" s="13" t="s">
        <v>413</v>
      </c>
      <c r="B49" s="1">
        <f>B47-B48</f>
        <v>0</v>
      </c>
      <c r="C49" s="1">
        <f t="shared" ref="C49:AO49" si="94">IF($B$42&lt;=C46,C47,C47-PV($B$40/12,12*($B$41-C$46),-$B$43))</f>
        <v>0</v>
      </c>
      <c r="D49" s="1">
        <f t="shared" si="94"/>
        <v>0</v>
      </c>
      <c r="E49" s="1">
        <f t="shared" si="94"/>
        <v>0</v>
      </c>
      <c r="F49" s="1">
        <f t="shared" si="94"/>
        <v>0</v>
      </c>
      <c r="G49" s="1">
        <f t="shared" si="94"/>
        <v>0</v>
      </c>
      <c r="H49" s="1">
        <f t="shared" si="94"/>
        <v>0</v>
      </c>
      <c r="I49" s="1">
        <f t="shared" si="94"/>
        <v>0</v>
      </c>
      <c r="J49" s="1">
        <f t="shared" si="94"/>
        <v>0</v>
      </c>
      <c r="K49" s="1">
        <f t="shared" si="94"/>
        <v>0</v>
      </c>
      <c r="L49" s="1">
        <f t="shared" si="94"/>
        <v>0</v>
      </c>
      <c r="M49" s="1">
        <f t="shared" si="94"/>
        <v>0</v>
      </c>
      <c r="N49" s="1">
        <f t="shared" si="94"/>
        <v>0</v>
      </c>
      <c r="O49" s="1">
        <f t="shared" si="94"/>
        <v>0</v>
      </c>
      <c r="P49" s="1">
        <f t="shared" si="94"/>
        <v>0</v>
      </c>
      <c r="Q49" s="1">
        <f t="shared" si="94"/>
        <v>0</v>
      </c>
      <c r="R49" s="1">
        <f t="shared" si="94"/>
        <v>0</v>
      </c>
      <c r="S49" s="1">
        <f t="shared" si="94"/>
        <v>0</v>
      </c>
      <c r="T49" s="1">
        <f t="shared" si="94"/>
        <v>0</v>
      </c>
      <c r="U49" s="1">
        <f t="shared" si="94"/>
        <v>0</v>
      </c>
      <c r="V49" s="1">
        <f t="shared" si="94"/>
        <v>0</v>
      </c>
      <c r="W49" s="1">
        <f t="shared" si="94"/>
        <v>0</v>
      </c>
      <c r="X49" s="1">
        <f t="shared" si="94"/>
        <v>0</v>
      </c>
      <c r="Y49" s="1">
        <f t="shared" si="94"/>
        <v>0</v>
      </c>
      <c r="Z49" s="1">
        <f t="shared" si="94"/>
        <v>0</v>
      </c>
      <c r="AA49" s="1">
        <f t="shared" si="94"/>
        <v>0</v>
      </c>
      <c r="AB49" s="1">
        <f t="shared" si="94"/>
        <v>0</v>
      </c>
      <c r="AC49" s="1">
        <f t="shared" si="94"/>
        <v>0</v>
      </c>
      <c r="AD49" s="1">
        <f t="shared" si="94"/>
        <v>0</v>
      </c>
      <c r="AE49" s="1">
        <f t="shared" si="94"/>
        <v>0</v>
      </c>
      <c r="AF49" s="1">
        <f t="shared" si="94"/>
        <v>0</v>
      </c>
      <c r="AG49" s="1">
        <f t="shared" si="94"/>
        <v>0</v>
      </c>
      <c r="AH49" s="1">
        <f t="shared" si="94"/>
        <v>0</v>
      </c>
      <c r="AI49" s="1">
        <f t="shared" si="94"/>
        <v>0</v>
      </c>
      <c r="AJ49" s="1">
        <f t="shared" si="94"/>
        <v>0</v>
      </c>
      <c r="AK49" s="1">
        <f t="shared" si="94"/>
        <v>0</v>
      </c>
      <c r="AL49" s="1">
        <f t="shared" si="94"/>
        <v>0</v>
      </c>
      <c r="AM49" s="1">
        <f t="shared" si="94"/>
        <v>0</v>
      </c>
      <c r="AN49" s="1">
        <f t="shared" si="94"/>
        <v>0</v>
      </c>
      <c r="AO49" s="1">
        <f t="shared" si="94"/>
        <v>0</v>
      </c>
    </row>
    <row r="50" spans="1:41" outlineLevel="1" x14ac:dyDescent="0.2">
      <c r="A50" s="13" t="s">
        <v>414</v>
      </c>
      <c r="B50" s="1">
        <f>$B$44-B49</f>
        <v>0</v>
      </c>
      <c r="C50" s="1">
        <f t="shared" ref="C50:AO50" si="95">IF($B$42&gt;=C46,$B$44-(C47-PV($B$40/12,12*($B$41-C$46),-$B$43)),0)</f>
        <v>0</v>
      </c>
      <c r="D50" s="1">
        <f t="shared" si="95"/>
        <v>0</v>
      </c>
      <c r="E50" s="1">
        <f t="shared" si="95"/>
        <v>0</v>
      </c>
      <c r="F50" s="1">
        <f t="shared" si="95"/>
        <v>0</v>
      </c>
      <c r="G50" s="1">
        <f t="shared" si="95"/>
        <v>0</v>
      </c>
      <c r="H50" s="1">
        <f t="shared" si="95"/>
        <v>0</v>
      </c>
      <c r="I50" s="1">
        <f t="shared" si="95"/>
        <v>0</v>
      </c>
      <c r="J50" s="1">
        <f t="shared" si="95"/>
        <v>0</v>
      </c>
      <c r="K50" s="1">
        <f t="shared" si="95"/>
        <v>0</v>
      </c>
      <c r="L50" s="1">
        <f t="shared" si="95"/>
        <v>0</v>
      </c>
      <c r="M50" s="1">
        <f t="shared" si="95"/>
        <v>0</v>
      </c>
      <c r="N50" s="1">
        <f t="shared" si="95"/>
        <v>0</v>
      </c>
      <c r="O50" s="1">
        <f t="shared" si="95"/>
        <v>0</v>
      </c>
      <c r="P50" s="1">
        <f t="shared" si="95"/>
        <v>0</v>
      </c>
      <c r="Q50" s="1">
        <f t="shared" si="95"/>
        <v>0</v>
      </c>
      <c r="R50" s="1">
        <f t="shared" si="95"/>
        <v>0</v>
      </c>
      <c r="S50" s="1">
        <f t="shared" si="95"/>
        <v>0</v>
      </c>
      <c r="T50" s="1">
        <f t="shared" si="95"/>
        <v>0</v>
      </c>
      <c r="U50" s="1">
        <f t="shared" si="95"/>
        <v>0</v>
      </c>
      <c r="V50" s="1">
        <f t="shared" si="95"/>
        <v>0</v>
      </c>
      <c r="W50" s="1">
        <f t="shared" si="95"/>
        <v>0</v>
      </c>
      <c r="X50" s="1">
        <f t="shared" si="95"/>
        <v>0</v>
      </c>
      <c r="Y50" s="1">
        <f t="shared" si="95"/>
        <v>0</v>
      </c>
      <c r="Z50" s="1">
        <f t="shared" si="95"/>
        <v>0</v>
      </c>
      <c r="AA50" s="1">
        <f t="shared" si="95"/>
        <v>0</v>
      </c>
      <c r="AB50" s="1">
        <f t="shared" si="95"/>
        <v>0</v>
      </c>
      <c r="AC50" s="1">
        <f t="shared" si="95"/>
        <v>0</v>
      </c>
      <c r="AD50" s="1">
        <f t="shared" si="95"/>
        <v>0</v>
      </c>
      <c r="AE50" s="1">
        <f t="shared" si="95"/>
        <v>0</v>
      </c>
      <c r="AF50" s="1">
        <f t="shared" si="95"/>
        <v>0</v>
      </c>
      <c r="AG50" s="1">
        <f t="shared" si="95"/>
        <v>0</v>
      </c>
      <c r="AH50" s="1">
        <f t="shared" si="95"/>
        <v>0</v>
      </c>
      <c r="AI50" s="1">
        <f t="shared" si="95"/>
        <v>0</v>
      </c>
      <c r="AJ50" s="1">
        <f t="shared" si="95"/>
        <v>0</v>
      </c>
      <c r="AK50" s="1">
        <f t="shared" si="95"/>
        <v>0</v>
      </c>
      <c r="AL50" s="1">
        <f t="shared" si="95"/>
        <v>0</v>
      </c>
      <c r="AM50" s="1">
        <f t="shared" si="95"/>
        <v>0</v>
      </c>
      <c r="AN50" s="1">
        <f t="shared" si="95"/>
        <v>0</v>
      </c>
      <c r="AO50" s="1">
        <f t="shared" si="95"/>
        <v>0</v>
      </c>
    </row>
    <row r="51" spans="1:41" outlineLevel="1" x14ac:dyDescent="0.2">
      <c r="A51" s="13" t="s">
        <v>422</v>
      </c>
      <c r="B51" s="1">
        <f>B49+B50</f>
        <v>0</v>
      </c>
      <c r="C51" s="1">
        <f t="shared" ref="C51:AN51" si="96">C49+C50</f>
        <v>0</v>
      </c>
      <c r="D51" s="1">
        <f t="shared" si="96"/>
        <v>0</v>
      </c>
      <c r="E51" s="1">
        <f t="shared" si="96"/>
        <v>0</v>
      </c>
      <c r="F51" s="1">
        <f>F49+F50</f>
        <v>0</v>
      </c>
      <c r="G51" s="1">
        <f t="shared" si="96"/>
        <v>0</v>
      </c>
      <c r="H51" s="1">
        <f t="shared" si="96"/>
        <v>0</v>
      </c>
      <c r="I51" s="1">
        <f t="shared" si="96"/>
        <v>0</v>
      </c>
      <c r="J51" s="1">
        <f t="shared" si="96"/>
        <v>0</v>
      </c>
      <c r="K51" s="1">
        <f t="shared" si="96"/>
        <v>0</v>
      </c>
      <c r="L51" s="1">
        <f t="shared" si="96"/>
        <v>0</v>
      </c>
      <c r="M51" s="1">
        <f t="shared" si="96"/>
        <v>0</v>
      </c>
      <c r="N51" s="1">
        <f t="shared" si="96"/>
        <v>0</v>
      </c>
      <c r="O51" s="1">
        <f t="shared" si="96"/>
        <v>0</v>
      </c>
      <c r="P51" s="1">
        <f t="shared" si="96"/>
        <v>0</v>
      </c>
      <c r="Q51" s="1">
        <f t="shared" si="96"/>
        <v>0</v>
      </c>
      <c r="R51" s="1">
        <f t="shared" si="96"/>
        <v>0</v>
      </c>
      <c r="S51" s="1">
        <f t="shared" si="96"/>
        <v>0</v>
      </c>
      <c r="T51" s="1">
        <f t="shared" si="96"/>
        <v>0</v>
      </c>
      <c r="U51" s="1">
        <f t="shared" si="96"/>
        <v>0</v>
      </c>
      <c r="V51" s="1">
        <f t="shared" si="96"/>
        <v>0</v>
      </c>
      <c r="W51" s="1">
        <f t="shared" si="96"/>
        <v>0</v>
      </c>
      <c r="X51" s="1">
        <f t="shared" si="96"/>
        <v>0</v>
      </c>
      <c r="Y51" s="1">
        <f t="shared" si="96"/>
        <v>0</v>
      </c>
      <c r="Z51" s="1">
        <f t="shared" si="96"/>
        <v>0</v>
      </c>
      <c r="AA51" s="1">
        <f t="shared" si="96"/>
        <v>0</v>
      </c>
      <c r="AB51" s="1">
        <f t="shared" si="96"/>
        <v>0</v>
      </c>
      <c r="AC51" s="1">
        <f t="shared" si="96"/>
        <v>0</v>
      </c>
      <c r="AD51" s="1">
        <f t="shared" si="96"/>
        <v>0</v>
      </c>
      <c r="AE51" s="1">
        <f t="shared" si="96"/>
        <v>0</v>
      </c>
      <c r="AF51" s="1">
        <f t="shared" si="96"/>
        <v>0</v>
      </c>
      <c r="AG51" s="1">
        <f t="shared" si="96"/>
        <v>0</v>
      </c>
      <c r="AH51" s="1">
        <f t="shared" si="96"/>
        <v>0</v>
      </c>
      <c r="AI51" s="1">
        <f t="shared" si="96"/>
        <v>0</v>
      </c>
      <c r="AJ51" s="1">
        <f t="shared" si="96"/>
        <v>0</v>
      </c>
      <c r="AK51" s="1">
        <f t="shared" si="96"/>
        <v>0</v>
      </c>
      <c r="AL51" s="1">
        <f t="shared" si="96"/>
        <v>0</v>
      </c>
      <c r="AM51" s="1">
        <f t="shared" si="96"/>
        <v>0</v>
      </c>
      <c r="AN51" s="1">
        <f t="shared" si="96"/>
        <v>0</v>
      </c>
      <c r="AO51" s="1">
        <f>AO49+AO50</f>
        <v>0</v>
      </c>
    </row>
    <row r="52" spans="1:41" outlineLevel="1" x14ac:dyDescent="0.2">
      <c r="A52" s="13"/>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row>
    <row r="53" spans="1:41" outlineLevel="2" collapsed="1" x14ac:dyDescent="0.2">
      <c r="A53" s="13"/>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row>
    <row r="54" spans="1:41" ht="15" outlineLevel="2" x14ac:dyDescent="0.25">
      <c r="A54" s="292" t="str">
        <f>assumptions!A24</f>
        <v>[Additional Field - Specify] (Amortizing)</v>
      </c>
    </row>
    <row r="55" spans="1:41" ht="15" outlineLevel="2" x14ac:dyDescent="0.25">
      <c r="A55" s="292"/>
    </row>
    <row r="56" spans="1:41" outlineLevel="2" x14ac:dyDescent="0.2">
      <c r="A56" s="296" t="s">
        <v>413</v>
      </c>
      <c r="B56" s="1">
        <f>assumptions!B24</f>
        <v>0</v>
      </c>
    </row>
    <row r="57" spans="1:41" outlineLevel="2" x14ac:dyDescent="0.2">
      <c r="A57" s="296" t="s">
        <v>414</v>
      </c>
      <c r="B57" s="5">
        <f>assumptions!D24</f>
        <v>0</v>
      </c>
    </row>
    <row r="58" spans="1:41" outlineLevel="2" x14ac:dyDescent="0.2">
      <c r="A58" s="296" t="s">
        <v>415</v>
      </c>
      <c r="B58" s="1">
        <f>assumptions!E24</f>
        <v>0</v>
      </c>
    </row>
    <row r="59" spans="1:41" outlineLevel="2" x14ac:dyDescent="0.2">
      <c r="A59" s="296" t="s">
        <v>416</v>
      </c>
      <c r="B59" s="1">
        <f>assumptions!F24</f>
        <v>0</v>
      </c>
    </row>
    <row r="60" spans="1:41" outlineLevel="2" x14ac:dyDescent="0.2">
      <c r="A60" s="296" t="s">
        <v>417</v>
      </c>
      <c r="B60" s="1">
        <f>IF(B56=0,0,PMT(B57/12,B58*12,-B56))</f>
        <v>0</v>
      </c>
    </row>
    <row r="61" spans="1:41" outlineLevel="2" x14ac:dyDescent="0.2">
      <c r="A61" s="296" t="s">
        <v>418</v>
      </c>
      <c r="B61" s="1">
        <f>B60*12</f>
        <v>0</v>
      </c>
    </row>
    <row r="62" spans="1:41" outlineLevel="2" x14ac:dyDescent="0.2"/>
    <row r="63" spans="1:41" outlineLevel="2" x14ac:dyDescent="0.2">
      <c r="A63" s="295" t="s">
        <v>419</v>
      </c>
      <c r="B63" s="294">
        <v>1</v>
      </c>
      <c r="C63" s="294">
        <f t="shared" ref="C63" si="97">B63+1</f>
        <v>2</v>
      </c>
      <c r="D63" s="294">
        <f t="shared" ref="D63" si="98">C63+1</f>
        <v>3</v>
      </c>
      <c r="E63" s="294">
        <f t="shared" ref="E63" si="99">D63+1</f>
        <v>4</v>
      </c>
      <c r="F63" s="294">
        <f t="shared" ref="F63" si="100">E63+1</f>
        <v>5</v>
      </c>
      <c r="G63" s="294">
        <f t="shared" ref="G63" si="101">F63+1</f>
        <v>6</v>
      </c>
      <c r="H63" s="294">
        <f t="shared" ref="H63" si="102">G63+1</f>
        <v>7</v>
      </c>
      <c r="I63" s="294">
        <f t="shared" ref="I63" si="103">H63+1</f>
        <v>8</v>
      </c>
      <c r="J63" s="294">
        <f t="shared" ref="J63" si="104">I63+1</f>
        <v>9</v>
      </c>
      <c r="K63" s="294">
        <f t="shared" ref="K63" si="105">J63+1</f>
        <v>10</v>
      </c>
      <c r="L63" s="294">
        <f t="shared" ref="L63" si="106">K63+1</f>
        <v>11</v>
      </c>
      <c r="M63" s="294">
        <f t="shared" ref="M63" si="107">L63+1</f>
        <v>12</v>
      </c>
      <c r="N63" s="294">
        <f t="shared" ref="N63" si="108">M63+1</f>
        <v>13</v>
      </c>
      <c r="O63" s="294">
        <f t="shared" ref="O63" si="109">N63+1</f>
        <v>14</v>
      </c>
      <c r="P63" s="294">
        <f t="shared" ref="P63" si="110">O63+1</f>
        <v>15</v>
      </c>
      <c r="Q63" s="294">
        <f t="shared" ref="Q63" si="111">P63+1</f>
        <v>16</v>
      </c>
      <c r="R63" s="294">
        <f t="shared" ref="R63" si="112">Q63+1</f>
        <v>17</v>
      </c>
      <c r="S63" s="294">
        <f t="shared" ref="S63" si="113">R63+1</f>
        <v>18</v>
      </c>
      <c r="T63" s="294">
        <f t="shared" ref="T63" si="114">S63+1</f>
        <v>19</v>
      </c>
      <c r="U63" s="294">
        <f t="shared" ref="U63" si="115">T63+1</f>
        <v>20</v>
      </c>
      <c r="V63" s="294">
        <f t="shared" ref="V63" si="116">U63+1</f>
        <v>21</v>
      </c>
      <c r="W63" s="294">
        <f t="shared" ref="W63" si="117">V63+1</f>
        <v>22</v>
      </c>
      <c r="X63" s="294">
        <f t="shared" ref="X63" si="118">W63+1</f>
        <v>23</v>
      </c>
      <c r="Y63" s="294">
        <f t="shared" ref="Y63" si="119">X63+1</f>
        <v>24</v>
      </c>
      <c r="Z63" s="294">
        <f t="shared" ref="Z63" si="120">Y63+1</f>
        <v>25</v>
      </c>
      <c r="AA63" s="294">
        <f t="shared" ref="AA63" si="121">Z63+1</f>
        <v>26</v>
      </c>
      <c r="AB63" s="294">
        <f t="shared" ref="AB63" si="122">AA63+1</f>
        <v>27</v>
      </c>
      <c r="AC63" s="294">
        <f t="shared" ref="AC63" si="123">AB63+1</f>
        <v>28</v>
      </c>
      <c r="AD63" s="294">
        <f t="shared" ref="AD63" si="124">AC63+1</f>
        <v>29</v>
      </c>
      <c r="AE63" s="294">
        <f t="shared" ref="AE63" si="125">AD63+1</f>
        <v>30</v>
      </c>
      <c r="AF63" s="294">
        <f t="shared" ref="AF63" si="126">AE63+1</f>
        <v>31</v>
      </c>
      <c r="AG63" s="294">
        <f t="shared" ref="AG63" si="127">AF63+1</f>
        <v>32</v>
      </c>
      <c r="AH63" s="294">
        <f t="shared" ref="AH63" si="128">AG63+1</f>
        <v>33</v>
      </c>
      <c r="AI63" s="294">
        <f t="shared" ref="AI63" si="129">AH63+1</f>
        <v>34</v>
      </c>
      <c r="AJ63" s="294">
        <f t="shared" ref="AJ63" si="130">AI63+1</f>
        <v>35</v>
      </c>
      <c r="AK63" s="294">
        <f t="shared" ref="AK63" si="131">AJ63+1</f>
        <v>36</v>
      </c>
      <c r="AL63" s="294">
        <f t="shared" ref="AL63" si="132">AK63+1</f>
        <v>37</v>
      </c>
      <c r="AM63" s="294">
        <f t="shared" ref="AM63" si="133">AL63+1</f>
        <v>38</v>
      </c>
      <c r="AN63" s="294">
        <f t="shared" ref="AN63" si="134">AM63+1</f>
        <v>39</v>
      </c>
      <c r="AO63" s="294">
        <f t="shared" ref="AO63" si="135">AN63+1</f>
        <v>40</v>
      </c>
    </row>
    <row r="64" spans="1:41" outlineLevel="2" x14ac:dyDescent="0.2">
      <c r="A64" s="13" t="s">
        <v>420</v>
      </c>
      <c r="B64" s="1">
        <f>B56</f>
        <v>0</v>
      </c>
      <c r="C64" s="1">
        <f>B65</f>
        <v>0</v>
      </c>
      <c r="D64" s="1">
        <f t="shared" ref="D64" si="136">C65</f>
        <v>0</v>
      </c>
      <c r="E64" s="1">
        <f t="shared" ref="E64" si="137">D65</f>
        <v>0</v>
      </c>
      <c r="F64" s="1">
        <f t="shared" ref="F64" si="138">E65</f>
        <v>0</v>
      </c>
      <c r="G64" s="1">
        <f t="shared" ref="G64" si="139">F65</f>
        <v>0</v>
      </c>
      <c r="H64" s="1">
        <f t="shared" ref="H64" si="140">G65</f>
        <v>0</v>
      </c>
      <c r="I64" s="1">
        <f t="shared" ref="I64" si="141">H65</f>
        <v>0</v>
      </c>
      <c r="J64" s="1">
        <f t="shared" ref="J64" si="142">I65</f>
        <v>0</v>
      </c>
      <c r="K64" s="1">
        <f t="shared" ref="K64" si="143">J65</f>
        <v>0</v>
      </c>
      <c r="L64" s="1">
        <f t="shared" ref="L64" si="144">K65</f>
        <v>0</v>
      </c>
      <c r="M64" s="1">
        <f t="shared" ref="M64" si="145">L65</f>
        <v>0</v>
      </c>
      <c r="N64" s="1">
        <f t="shared" ref="N64" si="146">M65</f>
        <v>0</v>
      </c>
      <c r="O64" s="1">
        <f t="shared" ref="O64" si="147">N65</f>
        <v>0</v>
      </c>
      <c r="P64" s="1">
        <f t="shared" ref="P64" si="148">O65</f>
        <v>0</v>
      </c>
      <c r="Q64" s="1">
        <f t="shared" ref="Q64" si="149">P65</f>
        <v>0</v>
      </c>
      <c r="R64" s="1">
        <f t="shared" ref="R64" si="150">Q65</f>
        <v>0</v>
      </c>
      <c r="S64" s="1">
        <f t="shared" ref="S64" si="151">R65</f>
        <v>0</v>
      </c>
      <c r="T64" s="1">
        <f t="shared" ref="T64" si="152">S65</f>
        <v>0</v>
      </c>
      <c r="U64" s="1">
        <f t="shared" ref="U64" si="153">T65</f>
        <v>0</v>
      </c>
      <c r="V64" s="1">
        <f t="shared" ref="V64" si="154">U65</f>
        <v>0</v>
      </c>
      <c r="W64" s="1">
        <f t="shared" ref="W64" si="155">V65</f>
        <v>0</v>
      </c>
      <c r="X64" s="1">
        <f t="shared" ref="X64" si="156">W65</f>
        <v>0</v>
      </c>
      <c r="Y64" s="1">
        <f t="shared" ref="Y64" si="157">X65</f>
        <v>0</v>
      </c>
      <c r="Z64" s="1">
        <f t="shared" ref="Z64" si="158">Y65</f>
        <v>0</v>
      </c>
      <c r="AA64" s="1">
        <f t="shared" ref="AA64" si="159">Z65</f>
        <v>0</v>
      </c>
      <c r="AB64" s="1">
        <f t="shared" ref="AB64" si="160">AA65</f>
        <v>0</v>
      </c>
      <c r="AC64" s="1">
        <f t="shared" ref="AC64" si="161">AB65</f>
        <v>0</v>
      </c>
      <c r="AD64" s="1">
        <f t="shared" ref="AD64" si="162">AC65</f>
        <v>0</v>
      </c>
      <c r="AE64" s="1">
        <f t="shared" ref="AE64" si="163">AD65</f>
        <v>0</v>
      </c>
      <c r="AF64" s="1">
        <f t="shared" ref="AF64" si="164">AE65</f>
        <v>0</v>
      </c>
      <c r="AG64" s="1">
        <f t="shared" ref="AG64" si="165">AF65</f>
        <v>0</v>
      </c>
      <c r="AH64" s="1">
        <f t="shared" ref="AH64" si="166">AG65</f>
        <v>0</v>
      </c>
      <c r="AI64" s="1">
        <f t="shared" ref="AI64" si="167">AH65</f>
        <v>0</v>
      </c>
      <c r="AJ64" s="1">
        <f t="shared" ref="AJ64" si="168">AI65</f>
        <v>0</v>
      </c>
      <c r="AK64" s="1">
        <f t="shared" ref="AK64" si="169">AJ65</f>
        <v>0</v>
      </c>
      <c r="AL64" s="1">
        <f t="shared" ref="AL64" si="170">AK65</f>
        <v>0</v>
      </c>
      <c r="AM64" s="1">
        <f t="shared" ref="AM64" si="171">AL65</f>
        <v>0</v>
      </c>
      <c r="AN64" s="1">
        <f t="shared" ref="AN64" si="172">AM65</f>
        <v>0</v>
      </c>
      <c r="AO64" s="1">
        <f t="shared" ref="AO64" si="173">AN65</f>
        <v>0</v>
      </c>
    </row>
    <row r="65" spans="1:41" outlineLevel="2" x14ac:dyDescent="0.2">
      <c r="A65" s="13" t="s">
        <v>421</v>
      </c>
      <c r="B65" s="1">
        <f>PV($B$57/12,12*($B$58-B$63),-$B$60)</f>
        <v>0</v>
      </c>
      <c r="C65" s="1">
        <f>IF($B59&lt;=C63,0,PV($B57/12,12*($B58-C63),-$B60))</f>
        <v>0</v>
      </c>
      <c r="D65" s="1">
        <f t="shared" ref="D65:AO65" si="174">IF($B59&lt;=D63,0,PV($B57/12,12*($B58-D63),-$B60))</f>
        <v>0</v>
      </c>
      <c r="E65" s="1">
        <f>IF($B59&lt;=E63,0,PV($B57/12,12*($B58-E63),-$B60))</f>
        <v>0</v>
      </c>
      <c r="F65" s="1">
        <f t="shared" si="174"/>
        <v>0</v>
      </c>
      <c r="G65" s="1">
        <f t="shared" si="174"/>
        <v>0</v>
      </c>
      <c r="H65" s="1">
        <f t="shared" si="174"/>
        <v>0</v>
      </c>
      <c r="I65" s="1">
        <f t="shared" si="174"/>
        <v>0</v>
      </c>
      <c r="J65" s="1">
        <f t="shared" si="174"/>
        <v>0</v>
      </c>
      <c r="K65" s="1">
        <f t="shared" si="174"/>
        <v>0</v>
      </c>
      <c r="L65" s="1">
        <f t="shared" si="174"/>
        <v>0</v>
      </c>
      <c r="M65" s="1">
        <f t="shared" si="174"/>
        <v>0</v>
      </c>
      <c r="N65" s="1">
        <f t="shared" si="174"/>
        <v>0</v>
      </c>
      <c r="O65" s="1">
        <f t="shared" si="174"/>
        <v>0</v>
      </c>
      <c r="P65" s="1">
        <f t="shared" si="174"/>
        <v>0</v>
      </c>
      <c r="Q65" s="1">
        <f t="shared" si="174"/>
        <v>0</v>
      </c>
      <c r="R65" s="1">
        <f t="shared" si="174"/>
        <v>0</v>
      </c>
      <c r="S65" s="1">
        <f t="shared" si="174"/>
        <v>0</v>
      </c>
      <c r="T65" s="1">
        <f t="shared" si="174"/>
        <v>0</v>
      </c>
      <c r="U65" s="1">
        <f t="shared" si="174"/>
        <v>0</v>
      </c>
      <c r="V65" s="1">
        <f t="shared" si="174"/>
        <v>0</v>
      </c>
      <c r="W65" s="1">
        <f t="shared" si="174"/>
        <v>0</v>
      </c>
      <c r="X65" s="1">
        <f t="shared" si="174"/>
        <v>0</v>
      </c>
      <c r="Y65" s="1">
        <f t="shared" si="174"/>
        <v>0</v>
      </c>
      <c r="Z65" s="1">
        <f t="shared" si="174"/>
        <v>0</v>
      </c>
      <c r="AA65" s="1">
        <f t="shared" si="174"/>
        <v>0</v>
      </c>
      <c r="AB65" s="1">
        <f t="shared" si="174"/>
        <v>0</v>
      </c>
      <c r="AC65" s="1">
        <f t="shared" si="174"/>
        <v>0</v>
      </c>
      <c r="AD65" s="1">
        <f t="shared" si="174"/>
        <v>0</v>
      </c>
      <c r="AE65" s="1">
        <f t="shared" si="174"/>
        <v>0</v>
      </c>
      <c r="AF65" s="1">
        <f t="shared" si="174"/>
        <v>0</v>
      </c>
      <c r="AG65" s="1">
        <f t="shared" si="174"/>
        <v>0</v>
      </c>
      <c r="AH65" s="1">
        <f t="shared" si="174"/>
        <v>0</v>
      </c>
      <c r="AI65" s="1">
        <f t="shared" si="174"/>
        <v>0</v>
      </c>
      <c r="AJ65" s="1">
        <f t="shared" si="174"/>
        <v>0</v>
      </c>
      <c r="AK65" s="1">
        <f t="shared" si="174"/>
        <v>0</v>
      </c>
      <c r="AL65" s="1">
        <f t="shared" si="174"/>
        <v>0</v>
      </c>
      <c r="AM65" s="1">
        <f t="shared" si="174"/>
        <v>0</v>
      </c>
      <c r="AN65" s="1">
        <f t="shared" si="174"/>
        <v>0</v>
      </c>
      <c r="AO65" s="1">
        <f t="shared" si="174"/>
        <v>0</v>
      </c>
    </row>
    <row r="66" spans="1:41" outlineLevel="2" x14ac:dyDescent="0.2">
      <c r="A66" s="13" t="s">
        <v>413</v>
      </c>
      <c r="B66" s="12">
        <f>B64-B65</f>
        <v>0</v>
      </c>
      <c r="C66" s="12">
        <f>IF($B59&lt;=C63,C64,C64-PV($B57/12,12*($B58-C63),-$B60))</f>
        <v>0</v>
      </c>
      <c r="D66" s="12">
        <f>IF($B59&lt;=D63,D64,D64-PV($B57/12,12*($B58-D63),-$B60))</f>
        <v>0</v>
      </c>
      <c r="E66" s="12">
        <f t="shared" ref="E66:AO66" si="175">IF($B59&lt;=E63,E64,E64-PV($B57/12,12*($B58-E63),-$B60))</f>
        <v>0</v>
      </c>
      <c r="F66" s="12">
        <f t="shared" si="175"/>
        <v>0</v>
      </c>
      <c r="G66" s="12">
        <f t="shared" si="175"/>
        <v>0</v>
      </c>
      <c r="H66" s="12">
        <f t="shared" si="175"/>
        <v>0</v>
      </c>
      <c r="I66" s="12">
        <f t="shared" si="175"/>
        <v>0</v>
      </c>
      <c r="J66" s="12">
        <f t="shared" si="175"/>
        <v>0</v>
      </c>
      <c r="K66" s="12">
        <f t="shared" si="175"/>
        <v>0</v>
      </c>
      <c r="L66" s="12">
        <f t="shared" si="175"/>
        <v>0</v>
      </c>
      <c r="M66" s="12">
        <f t="shared" si="175"/>
        <v>0</v>
      </c>
      <c r="N66" s="12">
        <f t="shared" si="175"/>
        <v>0</v>
      </c>
      <c r="O66" s="12">
        <f t="shared" si="175"/>
        <v>0</v>
      </c>
      <c r="P66" s="12">
        <f t="shared" si="175"/>
        <v>0</v>
      </c>
      <c r="Q66" s="12">
        <f t="shared" si="175"/>
        <v>0</v>
      </c>
      <c r="R66" s="12">
        <f t="shared" si="175"/>
        <v>0</v>
      </c>
      <c r="S66" s="12">
        <f t="shared" si="175"/>
        <v>0</v>
      </c>
      <c r="T66" s="12">
        <f t="shared" si="175"/>
        <v>0</v>
      </c>
      <c r="U66" s="12">
        <f t="shared" si="175"/>
        <v>0</v>
      </c>
      <c r="V66" s="12">
        <f t="shared" si="175"/>
        <v>0</v>
      </c>
      <c r="W66" s="12">
        <f t="shared" si="175"/>
        <v>0</v>
      </c>
      <c r="X66" s="12">
        <f t="shared" si="175"/>
        <v>0</v>
      </c>
      <c r="Y66" s="12">
        <f t="shared" si="175"/>
        <v>0</v>
      </c>
      <c r="Z66" s="12">
        <f t="shared" si="175"/>
        <v>0</v>
      </c>
      <c r="AA66" s="12">
        <f t="shared" si="175"/>
        <v>0</v>
      </c>
      <c r="AB66" s="12">
        <f t="shared" si="175"/>
        <v>0</v>
      </c>
      <c r="AC66" s="12">
        <f t="shared" si="175"/>
        <v>0</v>
      </c>
      <c r="AD66" s="12">
        <f t="shared" si="175"/>
        <v>0</v>
      </c>
      <c r="AE66" s="12">
        <f t="shared" si="175"/>
        <v>0</v>
      </c>
      <c r="AF66" s="12">
        <f t="shared" si="175"/>
        <v>0</v>
      </c>
      <c r="AG66" s="12">
        <f t="shared" si="175"/>
        <v>0</v>
      </c>
      <c r="AH66" s="12">
        <f t="shared" si="175"/>
        <v>0</v>
      </c>
      <c r="AI66" s="12">
        <f t="shared" si="175"/>
        <v>0</v>
      </c>
      <c r="AJ66" s="12">
        <f t="shared" si="175"/>
        <v>0</v>
      </c>
      <c r="AK66" s="12">
        <f t="shared" si="175"/>
        <v>0</v>
      </c>
      <c r="AL66" s="12">
        <f t="shared" si="175"/>
        <v>0</v>
      </c>
      <c r="AM66" s="12">
        <f t="shared" si="175"/>
        <v>0</v>
      </c>
      <c r="AN66" s="12">
        <f t="shared" si="175"/>
        <v>0</v>
      </c>
      <c r="AO66" s="12">
        <f t="shared" si="175"/>
        <v>0</v>
      </c>
    </row>
    <row r="67" spans="1:41" outlineLevel="2" x14ac:dyDescent="0.2">
      <c r="A67" s="13" t="s">
        <v>414</v>
      </c>
      <c r="B67" s="1">
        <f>$B$61-B66</f>
        <v>0</v>
      </c>
      <c r="C67" s="1">
        <f>IF($B59&gt;=C63,$B61-(C64-PV($B57/12,12*($B58-C63),-$B60)),0)</f>
        <v>0</v>
      </c>
      <c r="D67" s="1">
        <f t="shared" ref="D67:AO67" si="176">IF($B59&gt;=D63,$B61-(D64-PV($B57/12,12*($B58-D63),-$B60)),0)</f>
        <v>0</v>
      </c>
      <c r="E67" s="1">
        <f t="shared" si="176"/>
        <v>0</v>
      </c>
      <c r="F67" s="1">
        <f>IF($B59&gt;=F63,$B61-(F64-PV($B57/12,12*($B58-F63),-$B60)),0)</f>
        <v>0</v>
      </c>
      <c r="G67" s="1">
        <f t="shared" si="176"/>
        <v>0</v>
      </c>
      <c r="H67" s="1">
        <f t="shared" si="176"/>
        <v>0</v>
      </c>
      <c r="I67" s="1">
        <f t="shared" si="176"/>
        <v>0</v>
      </c>
      <c r="J67" s="1">
        <f t="shared" si="176"/>
        <v>0</v>
      </c>
      <c r="K67" s="1">
        <f t="shared" si="176"/>
        <v>0</v>
      </c>
      <c r="L67" s="1">
        <f t="shared" si="176"/>
        <v>0</v>
      </c>
      <c r="M67" s="1">
        <f t="shared" si="176"/>
        <v>0</v>
      </c>
      <c r="N67" s="1">
        <f t="shared" si="176"/>
        <v>0</v>
      </c>
      <c r="O67" s="1">
        <f t="shared" si="176"/>
        <v>0</v>
      </c>
      <c r="P67" s="1">
        <f t="shared" si="176"/>
        <v>0</v>
      </c>
      <c r="Q67" s="1">
        <f t="shared" si="176"/>
        <v>0</v>
      </c>
      <c r="R67" s="1">
        <f t="shared" si="176"/>
        <v>0</v>
      </c>
      <c r="S67" s="1">
        <f t="shared" si="176"/>
        <v>0</v>
      </c>
      <c r="T67" s="1">
        <f t="shared" si="176"/>
        <v>0</v>
      </c>
      <c r="U67" s="1">
        <f t="shared" si="176"/>
        <v>0</v>
      </c>
      <c r="V67" s="1">
        <f t="shared" si="176"/>
        <v>0</v>
      </c>
      <c r="W67" s="1">
        <f t="shared" si="176"/>
        <v>0</v>
      </c>
      <c r="X67" s="1">
        <f t="shared" si="176"/>
        <v>0</v>
      </c>
      <c r="Y67" s="1">
        <f t="shared" si="176"/>
        <v>0</v>
      </c>
      <c r="Z67" s="1">
        <f t="shared" si="176"/>
        <v>0</v>
      </c>
      <c r="AA67" s="1">
        <f t="shared" si="176"/>
        <v>0</v>
      </c>
      <c r="AB67" s="1">
        <f t="shared" si="176"/>
        <v>0</v>
      </c>
      <c r="AC67" s="1">
        <f t="shared" si="176"/>
        <v>0</v>
      </c>
      <c r="AD67" s="1">
        <f t="shared" si="176"/>
        <v>0</v>
      </c>
      <c r="AE67" s="1">
        <f t="shared" si="176"/>
        <v>0</v>
      </c>
      <c r="AF67" s="1">
        <f t="shared" si="176"/>
        <v>0</v>
      </c>
      <c r="AG67" s="1">
        <f t="shared" si="176"/>
        <v>0</v>
      </c>
      <c r="AH67" s="1">
        <f t="shared" si="176"/>
        <v>0</v>
      </c>
      <c r="AI67" s="1">
        <f t="shared" si="176"/>
        <v>0</v>
      </c>
      <c r="AJ67" s="1">
        <f t="shared" si="176"/>
        <v>0</v>
      </c>
      <c r="AK67" s="1">
        <f t="shared" si="176"/>
        <v>0</v>
      </c>
      <c r="AL67" s="1">
        <f t="shared" si="176"/>
        <v>0</v>
      </c>
      <c r="AM67" s="1">
        <f t="shared" si="176"/>
        <v>0</v>
      </c>
      <c r="AN67" s="1">
        <f>IF($B59&gt;=AN63,$B61-(AN64-PV($B57/12,12*($B58-AN63),-$B60)),0)</f>
        <v>0</v>
      </c>
      <c r="AO67" s="1">
        <f t="shared" si="176"/>
        <v>0</v>
      </c>
    </row>
    <row r="68" spans="1:41" outlineLevel="2" x14ac:dyDescent="0.2">
      <c r="A68" s="13" t="s">
        <v>422</v>
      </c>
      <c r="B68" s="1">
        <f>B66+B67</f>
        <v>0</v>
      </c>
      <c r="C68" s="1">
        <f t="shared" ref="C68:AO68" si="177">C66+C67</f>
        <v>0</v>
      </c>
      <c r="D68" s="1">
        <f>D66+D67</f>
        <v>0</v>
      </c>
      <c r="E68" s="1">
        <f t="shared" si="177"/>
        <v>0</v>
      </c>
      <c r="F68" s="1">
        <f t="shared" si="177"/>
        <v>0</v>
      </c>
      <c r="G68" s="1">
        <f t="shared" si="177"/>
        <v>0</v>
      </c>
      <c r="H68" s="1">
        <f t="shared" si="177"/>
        <v>0</v>
      </c>
      <c r="I68" s="1">
        <f t="shared" si="177"/>
        <v>0</v>
      </c>
      <c r="J68" s="1">
        <f t="shared" si="177"/>
        <v>0</v>
      </c>
      <c r="K68" s="1">
        <f t="shared" si="177"/>
        <v>0</v>
      </c>
      <c r="L68" s="1">
        <f t="shared" si="177"/>
        <v>0</v>
      </c>
      <c r="M68" s="1">
        <f t="shared" si="177"/>
        <v>0</v>
      </c>
      <c r="N68" s="1">
        <f t="shared" si="177"/>
        <v>0</v>
      </c>
      <c r="O68" s="1">
        <f t="shared" si="177"/>
        <v>0</v>
      </c>
      <c r="P68" s="1">
        <f t="shared" si="177"/>
        <v>0</v>
      </c>
      <c r="Q68" s="1">
        <f t="shared" si="177"/>
        <v>0</v>
      </c>
      <c r="R68" s="1">
        <f t="shared" si="177"/>
        <v>0</v>
      </c>
      <c r="S68" s="1">
        <f t="shared" si="177"/>
        <v>0</v>
      </c>
      <c r="T68" s="1">
        <f t="shared" si="177"/>
        <v>0</v>
      </c>
      <c r="U68" s="1">
        <f t="shared" si="177"/>
        <v>0</v>
      </c>
      <c r="V68" s="1">
        <f t="shared" si="177"/>
        <v>0</v>
      </c>
      <c r="W68" s="1">
        <f t="shared" si="177"/>
        <v>0</v>
      </c>
      <c r="X68" s="1">
        <f t="shared" si="177"/>
        <v>0</v>
      </c>
      <c r="Y68" s="1">
        <f t="shared" si="177"/>
        <v>0</v>
      </c>
      <c r="Z68" s="1">
        <f t="shared" si="177"/>
        <v>0</v>
      </c>
      <c r="AA68" s="1">
        <f t="shared" si="177"/>
        <v>0</v>
      </c>
      <c r="AB68" s="1">
        <f t="shared" si="177"/>
        <v>0</v>
      </c>
      <c r="AC68" s="1">
        <f t="shared" si="177"/>
        <v>0</v>
      </c>
      <c r="AD68" s="1">
        <f t="shared" si="177"/>
        <v>0</v>
      </c>
      <c r="AE68" s="1">
        <f t="shared" si="177"/>
        <v>0</v>
      </c>
      <c r="AF68" s="1">
        <f t="shared" si="177"/>
        <v>0</v>
      </c>
      <c r="AG68" s="1">
        <f t="shared" si="177"/>
        <v>0</v>
      </c>
      <c r="AH68" s="1">
        <f t="shared" si="177"/>
        <v>0</v>
      </c>
      <c r="AI68" s="1">
        <f t="shared" si="177"/>
        <v>0</v>
      </c>
      <c r="AJ68" s="1">
        <f t="shared" si="177"/>
        <v>0</v>
      </c>
      <c r="AK68" s="1">
        <f t="shared" si="177"/>
        <v>0</v>
      </c>
      <c r="AL68" s="1">
        <f t="shared" si="177"/>
        <v>0</v>
      </c>
      <c r="AM68" s="1">
        <f t="shared" si="177"/>
        <v>0</v>
      </c>
      <c r="AN68" s="1">
        <f t="shared" si="177"/>
        <v>0</v>
      </c>
      <c r="AO68" s="1">
        <f t="shared" si="177"/>
        <v>0</v>
      </c>
    </row>
    <row r="69" spans="1:41" outlineLevel="1" x14ac:dyDescent="0.2">
      <c r="A69" s="13"/>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row>
    <row r="70" spans="1:41" outlineLevel="2" collapsed="1" x14ac:dyDescent="0.2">
      <c r="A70" s="13"/>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row>
    <row r="71" spans="1:41" ht="15" outlineLevel="2" x14ac:dyDescent="0.25">
      <c r="A71" s="292" t="str">
        <f>assumptions!A25</f>
        <v>[Additional Field - Specify] (Amortizing)</v>
      </c>
    </row>
    <row r="72" spans="1:41" ht="15" outlineLevel="2" x14ac:dyDescent="0.25">
      <c r="A72" s="292"/>
    </row>
    <row r="73" spans="1:41" outlineLevel="2" x14ac:dyDescent="0.2">
      <c r="A73" s="296" t="s">
        <v>413</v>
      </c>
      <c r="B73" s="1">
        <f>assumptions!B25</f>
        <v>0</v>
      </c>
    </row>
    <row r="74" spans="1:41" outlineLevel="2" x14ac:dyDescent="0.2">
      <c r="A74" s="296" t="s">
        <v>414</v>
      </c>
      <c r="B74" s="5">
        <f>assumptions!D25</f>
        <v>0</v>
      </c>
    </row>
    <row r="75" spans="1:41" outlineLevel="2" x14ac:dyDescent="0.2">
      <c r="A75" s="296" t="s">
        <v>415</v>
      </c>
      <c r="B75" s="1">
        <f>assumptions!E25</f>
        <v>0</v>
      </c>
    </row>
    <row r="76" spans="1:41" outlineLevel="2" x14ac:dyDescent="0.2">
      <c r="A76" s="296" t="s">
        <v>416</v>
      </c>
      <c r="B76" s="1">
        <f>assumptions!F25</f>
        <v>0</v>
      </c>
    </row>
    <row r="77" spans="1:41" outlineLevel="2" x14ac:dyDescent="0.2">
      <c r="A77" s="296" t="s">
        <v>417</v>
      </c>
      <c r="B77" s="1">
        <f>IF(B73=0,0,PMT(B74/12,B75*12,-B73))</f>
        <v>0</v>
      </c>
    </row>
    <row r="78" spans="1:41" outlineLevel="2" x14ac:dyDescent="0.2">
      <c r="A78" s="296" t="s">
        <v>418</v>
      </c>
      <c r="B78" s="1">
        <f>B77*12</f>
        <v>0</v>
      </c>
    </row>
    <row r="79" spans="1:41" outlineLevel="2" x14ac:dyDescent="0.2"/>
    <row r="80" spans="1:41" outlineLevel="2" x14ac:dyDescent="0.2">
      <c r="A80" s="295" t="s">
        <v>419</v>
      </c>
      <c r="B80" s="294">
        <v>1</v>
      </c>
      <c r="C80" s="294">
        <f t="shared" ref="C80" si="178">B80+1</f>
        <v>2</v>
      </c>
      <c r="D80" s="294">
        <f t="shared" ref="D80" si="179">C80+1</f>
        <v>3</v>
      </c>
      <c r="E80" s="294">
        <f t="shared" ref="E80" si="180">D80+1</f>
        <v>4</v>
      </c>
      <c r="F80" s="294">
        <f t="shared" ref="F80" si="181">E80+1</f>
        <v>5</v>
      </c>
      <c r="G80" s="294">
        <f t="shared" ref="G80" si="182">F80+1</f>
        <v>6</v>
      </c>
      <c r="H80" s="294">
        <f t="shared" ref="H80" si="183">G80+1</f>
        <v>7</v>
      </c>
      <c r="I80" s="294">
        <f t="shared" ref="I80" si="184">H80+1</f>
        <v>8</v>
      </c>
      <c r="J80" s="294">
        <f t="shared" ref="J80" si="185">I80+1</f>
        <v>9</v>
      </c>
      <c r="K80" s="294">
        <f t="shared" ref="K80" si="186">J80+1</f>
        <v>10</v>
      </c>
      <c r="L80" s="294">
        <f t="shared" ref="L80" si="187">K80+1</f>
        <v>11</v>
      </c>
      <c r="M80" s="294">
        <f t="shared" ref="M80" si="188">L80+1</f>
        <v>12</v>
      </c>
      <c r="N80" s="294">
        <f t="shared" ref="N80" si="189">M80+1</f>
        <v>13</v>
      </c>
      <c r="O80" s="294">
        <f t="shared" ref="O80" si="190">N80+1</f>
        <v>14</v>
      </c>
      <c r="P80" s="294">
        <f t="shared" ref="P80" si="191">O80+1</f>
        <v>15</v>
      </c>
      <c r="Q80" s="294">
        <f t="shared" ref="Q80" si="192">P80+1</f>
        <v>16</v>
      </c>
      <c r="R80" s="294">
        <f t="shared" ref="R80" si="193">Q80+1</f>
        <v>17</v>
      </c>
      <c r="S80" s="294">
        <f t="shared" ref="S80" si="194">R80+1</f>
        <v>18</v>
      </c>
      <c r="T80" s="294">
        <f t="shared" ref="T80" si="195">S80+1</f>
        <v>19</v>
      </c>
      <c r="U80" s="294">
        <f t="shared" ref="U80" si="196">T80+1</f>
        <v>20</v>
      </c>
      <c r="V80" s="294">
        <f t="shared" ref="V80" si="197">U80+1</f>
        <v>21</v>
      </c>
      <c r="W80" s="294">
        <f t="shared" ref="W80" si="198">V80+1</f>
        <v>22</v>
      </c>
      <c r="X80" s="294">
        <f t="shared" ref="X80" si="199">W80+1</f>
        <v>23</v>
      </c>
      <c r="Y80" s="294">
        <f t="shared" ref="Y80" si="200">X80+1</f>
        <v>24</v>
      </c>
      <c r="Z80" s="294">
        <f t="shared" ref="Z80" si="201">Y80+1</f>
        <v>25</v>
      </c>
      <c r="AA80" s="294">
        <f t="shared" ref="AA80" si="202">Z80+1</f>
        <v>26</v>
      </c>
      <c r="AB80" s="294">
        <f t="shared" ref="AB80" si="203">AA80+1</f>
        <v>27</v>
      </c>
      <c r="AC80" s="294">
        <f t="shared" ref="AC80" si="204">AB80+1</f>
        <v>28</v>
      </c>
      <c r="AD80" s="294">
        <f t="shared" ref="AD80" si="205">AC80+1</f>
        <v>29</v>
      </c>
      <c r="AE80" s="294">
        <f t="shared" ref="AE80" si="206">AD80+1</f>
        <v>30</v>
      </c>
      <c r="AF80" s="294">
        <f t="shared" ref="AF80" si="207">AE80+1</f>
        <v>31</v>
      </c>
      <c r="AG80" s="294">
        <f t="shared" ref="AG80" si="208">AF80+1</f>
        <v>32</v>
      </c>
      <c r="AH80" s="294">
        <f t="shared" ref="AH80" si="209">AG80+1</f>
        <v>33</v>
      </c>
      <c r="AI80" s="294">
        <f t="shared" ref="AI80" si="210">AH80+1</f>
        <v>34</v>
      </c>
      <c r="AJ80" s="294">
        <f t="shared" ref="AJ80" si="211">AI80+1</f>
        <v>35</v>
      </c>
      <c r="AK80" s="294">
        <f t="shared" ref="AK80" si="212">AJ80+1</f>
        <v>36</v>
      </c>
      <c r="AL80" s="294">
        <f t="shared" ref="AL80" si="213">AK80+1</f>
        <v>37</v>
      </c>
      <c r="AM80" s="294">
        <f t="shared" ref="AM80" si="214">AL80+1</f>
        <v>38</v>
      </c>
      <c r="AN80" s="294">
        <f t="shared" ref="AN80" si="215">AM80+1</f>
        <v>39</v>
      </c>
      <c r="AO80" s="294">
        <f t="shared" ref="AO80" si="216">AN80+1</f>
        <v>40</v>
      </c>
    </row>
    <row r="81" spans="1:41" outlineLevel="2" x14ac:dyDescent="0.2">
      <c r="A81" s="13" t="s">
        <v>420</v>
      </c>
      <c r="B81" s="1">
        <f>B73</f>
        <v>0</v>
      </c>
      <c r="C81" s="1">
        <f>B82</f>
        <v>0</v>
      </c>
      <c r="D81" s="1">
        <f>C82</f>
        <v>0</v>
      </c>
      <c r="E81" s="1">
        <f>D82</f>
        <v>0</v>
      </c>
      <c r="F81" s="1">
        <f t="shared" ref="F81" si="217">E82</f>
        <v>0</v>
      </c>
      <c r="G81" s="1">
        <f t="shared" ref="G81" si="218">F82</f>
        <v>0</v>
      </c>
      <c r="H81" s="1">
        <f t="shared" ref="H81" si="219">G82</f>
        <v>0</v>
      </c>
      <c r="I81" s="1">
        <f t="shared" ref="I81" si="220">H82</f>
        <v>0</v>
      </c>
      <c r="J81" s="1">
        <f t="shared" ref="J81" si="221">I82</f>
        <v>0</v>
      </c>
      <c r="K81" s="1">
        <f t="shared" ref="K81" si="222">J82</f>
        <v>0</v>
      </c>
      <c r="L81" s="1">
        <f t="shared" ref="L81" si="223">K82</f>
        <v>0</v>
      </c>
      <c r="M81" s="1">
        <f t="shared" ref="M81" si="224">L82</f>
        <v>0</v>
      </c>
      <c r="N81" s="1">
        <f t="shared" ref="N81" si="225">M82</f>
        <v>0</v>
      </c>
      <c r="O81" s="1">
        <f t="shared" ref="O81" si="226">N82</f>
        <v>0</v>
      </c>
      <c r="P81" s="1">
        <f t="shared" ref="P81" si="227">O82</f>
        <v>0</v>
      </c>
      <c r="Q81" s="1">
        <f t="shared" ref="Q81" si="228">P82</f>
        <v>0</v>
      </c>
      <c r="R81" s="1">
        <f t="shared" ref="R81" si="229">Q82</f>
        <v>0</v>
      </c>
      <c r="S81" s="1">
        <f t="shared" ref="S81" si="230">R82</f>
        <v>0</v>
      </c>
      <c r="T81" s="1">
        <f t="shared" ref="T81" si="231">S82</f>
        <v>0</v>
      </c>
      <c r="U81" s="1">
        <f t="shared" ref="U81" si="232">T82</f>
        <v>0</v>
      </c>
      <c r="V81" s="1">
        <f t="shared" ref="V81" si="233">U82</f>
        <v>0</v>
      </c>
      <c r="W81" s="1">
        <f t="shared" ref="W81" si="234">V82</f>
        <v>0</v>
      </c>
      <c r="X81" s="1">
        <f t="shared" ref="X81" si="235">W82</f>
        <v>0</v>
      </c>
      <c r="Y81" s="1">
        <f t="shared" ref="Y81" si="236">X82</f>
        <v>0</v>
      </c>
      <c r="Z81" s="1">
        <f t="shared" ref="Z81" si="237">Y82</f>
        <v>0</v>
      </c>
      <c r="AA81" s="1">
        <f t="shared" ref="AA81" si="238">Z82</f>
        <v>0</v>
      </c>
      <c r="AB81" s="1">
        <f t="shared" ref="AB81" si="239">AA82</f>
        <v>0</v>
      </c>
      <c r="AC81" s="1">
        <f t="shared" ref="AC81" si="240">AB82</f>
        <v>0</v>
      </c>
      <c r="AD81" s="1">
        <f t="shared" ref="AD81" si="241">AC82</f>
        <v>0</v>
      </c>
      <c r="AE81" s="1">
        <f t="shared" ref="AE81" si="242">AD82</f>
        <v>0</v>
      </c>
      <c r="AF81" s="1">
        <f t="shared" ref="AF81" si="243">AE82</f>
        <v>0</v>
      </c>
      <c r="AG81" s="1">
        <f t="shared" ref="AG81" si="244">AF82</f>
        <v>0</v>
      </c>
      <c r="AH81" s="1">
        <f t="shared" ref="AH81" si="245">AG82</f>
        <v>0</v>
      </c>
      <c r="AI81" s="1">
        <f t="shared" ref="AI81" si="246">AH82</f>
        <v>0</v>
      </c>
      <c r="AJ81" s="1">
        <f t="shared" ref="AJ81" si="247">AI82</f>
        <v>0</v>
      </c>
      <c r="AK81" s="1">
        <f t="shared" ref="AK81" si="248">AJ82</f>
        <v>0</v>
      </c>
      <c r="AL81" s="1">
        <f t="shared" ref="AL81" si="249">AK82</f>
        <v>0</v>
      </c>
      <c r="AM81" s="1">
        <f t="shared" ref="AM81" si="250">AL82</f>
        <v>0</v>
      </c>
      <c r="AN81" s="1">
        <f t="shared" ref="AN81" si="251">AM82</f>
        <v>0</v>
      </c>
      <c r="AO81" s="1">
        <f t="shared" ref="AO81" si="252">AN82</f>
        <v>0</v>
      </c>
    </row>
    <row r="82" spans="1:41" outlineLevel="2" x14ac:dyDescent="0.2">
      <c r="A82" s="13" t="s">
        <v>421</v>
      </c>
      <c r="B82" s="1">
        <f>PV($B$74/12,12*($B$75-B$80),-$B$77)</f>
        <v>0</v>
      </c>
      <c r="C82" s="1">
        <f>IF($B76&lt;=C80,0,PV($B74/12,12*($B75-C80),-$B77))</f>
        <v>0</v>
      </c>
      <c r="D82" s="1">
        <f>IF($B76&lt;=D80,0,PV($B74/12,12*($B75-D80),-$B77))</f>
        <v>0</v>
      </c>
      <c r="E82" s="1">
        <f>IF($B76&lt;=E80,0,PV($B74/12,12*($B75-E80),-$B77))</f>
        <v>0</v>
      </c>
      <c r="F82" s="1">
        <f t="shared" ref="F82:AO82" si="253">IF($B76&lt;=F80,0,PV($B74/12,12*($B75-F80),-$B77))</f>
        <v>0</v>
      </c>
      <c r="G82" s="1">
        <f t="shared" si="253"/>
        <v>0</v>
      </c>
      <c r="H82" s="1">
        <f t="shared" si="253"/>
        <v>0</v>
      </c>
      <c r="I82" s="1">
        <f t="shared" si="253"/>
        <v>0</v>
      </c>
      <c r="J82" s="1">
        <f t="shared" si="253"/>
        <v>0</v>
      </c>
      <c r="K82" s="1">
        <f t="shared" si="253"/>
        <v>0</v>
      </c>
      <c r="L82" s="1">
        <f t="shared" si="253"/>
        <v>0</v>
      </c>
      <c r="M82" s="1">
        <f t="shared" si="253"/>
        <v>0</v>
      </c>
      <c r="N82" s="1">
        <f t="shared" si="253"/>
        <v>0</v>
      </c>
      <c r="O82" s="1">
        <f t="shared" si="253"/>
        <v>0</v>
      </c>
      <c r="P82" s="1">
        <f t="shared" si="253"/>
        <v>0</v>
      </c>
      <c r="Q82" s="1">
        <f t="shared" si="253"/>
        <v>0</v>
      </c>
      <c r="R82" s="1">
        <f t="shared" si="253"/>
        <v>0</v>
      </c>
      <c r="S82" s="1">
        <f t="shared" si="253"/>
        <v>0</v>
      </c>
      <c r="T82" s="1">
        <f t="shared" si="253"/>
        <v>0</v>
      </c>
      <c r="U82" s="1">
        <f t="shared" si="253"/>
        <v>0</v>
      </c>
      <c r="V82" s="1">
        <f t="shared" si="253"/>
        <v>0</v>
      </c>
      <c r="W82" s="1">
        <f t="shared" si="253"/>
        <v>0</v>
      </c>
      <c r="X82" s="1">
        <f t="shared" si="253"/>
        <v>0</v>
      </c>
      <c r="Y82" s="1">
        <f t="shared" si="253"/>
        <v>0</v>
      </c>
      <c r="Z82" s="1">
        <f t="shared" si="253"/>
        <v>0</v>
      </c>
      <c r="AA82" s="1">
        <f t="shared" si="253"/>
        <v>0</v>
      </c>
      <c r="AB82" s="1">
        <f t="shared" si="253"/>
        <v>0</v>
      </c>
      <c r="AC82" s="1">
        <f t="shared" si="253"/>
        <v>0</v>
      </c>
      <c r="AD82" s="1">
        <f t="shared" si="253"/>
        <v>0</v>
      </c>
      <c r="AE82" s="1">
        <f t="shared" si="253"/>
        <v>0</v>
      </c>
      <c r="AF82" s="1">
        <f t="shared" si="253"/>
        <v>0</v>
      </c>
      <c r="AG82" s="1">
        <f t="shared" si="253"/>
        <v>0</v>
      </c>
      <c r="AH82" s="1">
        <f t="shared" si="253"/>
        <v>0</v>
      </c>
      <c r="AI82" s="1">
        <f t="shared" si="253"/>
        <v>0</v>
      </c>
      <c r="AJ82" s="1">
        <f t="shared" si="253"/>
        <v>0</v>
      </c>
      <c r="AK82" s="1">
        <f t="shared" si="253"/>
        <v>0</v>
      </c>
      <c r="AL82" s="1">
        <f t="shared" si="253"/>
        <v>0</v>
      </c>
      <c r="AM82" s="1">
        <f t="shared" si="253"/>
        <v>0</v>
      </c>
      <c r="AN82" s="1">
        <f t="shared" si="253"/>
        <v>0</v>
      </c>
      <c r="AO82" s="1">
        <f t="shared" si="253"/>
        <v>0</v>
      </c>
    </row>
    <row r="83" spans="1:41" outlineLevel="2" x14ac:dyDescent="0.2">
      <c r="A83" s="13" t="s">
        <v>413</v>
      </c>
      <c r="B83" s="12">
        <f>B81-B82</f>
        <v>0</v>
      </c>
      <c r="C83" s="12">
        <f>IF($B76&lt;=C80,C81,C81-PV($B74/12,12*($B75-C80),-$B77))</f>
        <v>0</v>
      </c>
      <c r="D83" s="12">
        <f>IF($B76&lt;=D80,D81,D81-PV($B74/12,12*($B75-D80),-$B77))</f>
        <v>0</v>
      </c>
      <c r="E83" s="12">
        <f>IF($B76&lt;=E80,E81,E81-PV($B74/12,12*($B75-E80),-$B77))</f>
        <v>0</v>
      </c>
      <c r="F83" s="12">
        <f t="shared" ref="F83:AO83" si="254">IF($B76&lt;=F80,F81,F81-PV($B74/12,12*($B75-F80),-$B77))</f>
        <v>0</v>
      </c>
      <c r="G83" s="12">
        <f t="shared" si="254"/>
        <v>0</v>
      </c>
      <c r="H83" s="12">
        <f t="shared" si="254"/>
        <v>0</v>
      </c>
      <c r="I83" s="12">
        <f t="shared" si="254"/>
        <v>0</v>
      </c>
      <c r="J83" s="12">
        <f>IF($B76&lt;=J80,J81,J81-PV($B74/12,12*($B75-J80),-$B77))</f>
        <v>0</v>
      </c>
      <c r="K83" s="12">
        <f t="shared" si="254"/>
        <v>0</v>
      </c>
      <c r="L83" s="12">
        <f>IF($B76&lt;=L80,L81,L81-PV($B74/12,12*($B75-L80),-$B77))</f>
        <v>0</v>
      </c>
      <c r="M83" s="12">
        <f t="shared" si="254"/>
        <v>0</v>
      </c>
      <c r="N83" s="12">
        <f t="shared" si="254"/>
        <v>0</v>
      </c>
      <c r="O83" s="12">
        <f t="shared" si="254"/>
        <v>0</v>
      </c>
      <c r="P83" s="12">
        <f t="shared" si="254"/>
        <v>0</v>
      </c>
      <c r="Q83" s="12">
        <f t="shared" si="254"/>
        <v>0</v>
      </c>
      <c r="R83" s="12">
        <f t="shared" si="254"/>
        <v>0</v>
      </c>
      <c r="S83" s="12">
        <f t="shared" si="254"/>
        <v>0</v>
      </c>
      <c r="T83" s="12">
        <f t="shared" si="254"/>
        <v>0</v>
      </c>
      <c r="U83" s="12">
        <f t="shared" si="254"/>
        <v>0</v>
      </c>
      <c r="V83" s="12">
        <f t="shared" si="254"/>
        <v>0</v>
      </c>
      <c r="W83" s="12">
        <f t="shared" si="254"/>
        <v>0</v>
      </c>
      <c r="X83" s="12">
        <f t="shared" si="254"/>
        <v>0</v>
      </c>
      <c r="Y83" s="12">
        <f t="shared" si="254"/>
        <v>0</v>
      </c>
      <c r="Z83" s="12">
        <f t="shared" si="254"/>
        <v>0</v>
      </c>
      <c r="AA83" s="12">
        <f t="shared" si="254"/>
        <v>0</v>
      </c>
      <c r="AB83" s="12">
        <f t="shared" si="254"/>
        <v>0</v>
      </c>
      <c r="AC83" s="12">
        <f t="shared" si="254"/>
        <v>0</v>
      </c>
      <c r="AD83" s="12">
        <f t="shared" si="254"/>
        <v>0</v>
      </c>
      <c r="AE83" s="12">
        <f t="shared" si="254"/>
        <v>0</v>
      </c>
      <c r="AF83" s="12">
        <f t="shared" si="254"/>
        <v>0</v>
      </c>
      <c r="AG83" s="12">
        <f t="shared" si="254"/>
        <v>0</v>
      </c>
      <c r="AH83" s="12">
        <f t="shared" si="254"/>
        <v>0</v>
      </c>
      <c r="AI83" s="12">
        <f t="shared" si="254"/>
        <v>0</v>
      </c>
      <c r="AJ83" s="12">
        <f t="shared" si="254"/>
        <v>0</v>
      </c>
      <c r="AK83" s="12">
        <f t="shared" si="254"/>
        <v>0</v>
      </c>
      <c r="AL83" s="12">
        <f t="shared" si="254"/>
        <v>0</v>
      </c>
      <c r="AM83" s="12">
        <f t="shared" si="254"/>
        <v>0</v>
      </c>
      <c r="AN83" s="12">
        <f t="shared" si="254"/>
        <v>0</v>
      </c>
      <c r="AO83" s="12">
        <f t="shared" si="254"/>
        <v>0</v>
      </c>
    </row>
    <row r="84" spans="1:41" outlineLevel="2" x14ac:dyDescent="0.2">
      <c r="A84" s="13" t="s">
        <v>414</v>
      </c>
      <c r="B84" s="1">
        <f>$B$78-B83</f>
        <v>0</v>
      </c>
      <c r="C84" s="1">
        <f>IF($B76&gt;=C80,$B78-(C81-PV($B74/12,12*($B75-C80),-$B77)),0)</f>
        <v>0</v>
      </c>
      <c r="D84" s="1">
        <f>IF($B76&gt;=D80,$B78-(D81-PV($B74/12,12*($B75-D80),-$B77)),0)</f>
        <v>0</v>
      </c>
      <c r="E84" s="1">
        <f t="shared" ref="E84" si="255">IF($B76&gt;=E80,$B78-(E81-PV($B74/12,12*($B75-E80),-$B77)),0)</f>
        <v>0</v>
      </c>
      <c r="F84" s="1">
        <f>IF($B76&gt;=F80,$B78-(F81-PV($B74/12,12*($B75-F80),-$B77)),0)</f>
        <v>0</v>
      </c>
      <c r="G84" s="1">
        <f t="shared" ref="G84:AM84" si="256">IF($B76&gt;=G80,$B78-(G81-PV($B74/12,12*($B75-G80),-$B77)),0)</f>
        <v>0</v>
      </c>
      <c r="H84" s="1">
        <f t="shared" si="256"/>
        <v>0</v>
      </c>
      <c r="I84" s="1">
        <f t="shared" si="256"/>
        <v>0</v>
      </c>
      <c r="J84" s="1">
        <f t="shared" si="256"/>
        <v>0</v>
      </c>
      <c r="K84" s="1">
        <f t="shared" si="256"/>
        <v>0</v>
      </c>
      <c r="L84" s="1">
        <f>IF($B76&gt;=L80,$B78-(L81-PV($B74/12,12*($B75-L80),-$B77)),0)</f>
        <v>0</v>
      </c>
      <c r="M84" s="1">
        <f t="shared" si="256"/>
        <v>0</v>
      </c>
      <c r="N84" s="1">
        <f t="shared" si="256"/>
        <v>0</v>
      </c>
      <c r="O84" s="1">
        <f t="shared" si="256"/>
        <v>0</v>
      </c>
      <c r="P84" s="1">
        <f t="shared" si="256"/>
        <v>0</v>
      </c>
      <c r="Q84" s="1">
        <f t="shared" si="256"/>
        <v>0</v>
      </c>
      <c r="R84" s="1">
        <f t="shared" si="256"/>
        <v>0</v>
      </c>
      <c r="S84" s="1">
        <f t="shared" si="256"/>
        <v>0</v>
      </c>
      <c r="T84" s="1">
        <f t="shared" si="256"/>
        <v>0</v>
      </c>
      <c r="U84" s="1">
        <f t="shared" si="256"/>
        <v>0</v>
      </c>
      <c r="V84" s="1">
        <f t="shared" si="256"/>
        <v>0</v>
      </c>
      <c r="W84" s="1">
        <f t="shared" si="256"/>
        <v>0</v>
      </c>
      <c r="X84" s="1">
        <f t="shared" si="256"/>
        <v>0</v>
      </c>
      <c r="Y84" s="1">
        <f t="shared" si="256"/>
        <v>0</v>
      </c>
      <c r="Z84" s="1">
        <f t="shared" si="256"/>
        <v>0</v>
      </c>
      <c r="AA84" s="1">
        <f t="shared" si="256"/>
        <v>0</v>
      </c>
      <c r="AB84" s="1">
        <f t="shared" si="256"/>
        <v>0</v>
      </c>
      <c r="AC84" s="1">
        <f t="shared" si="256"/>
        <v>0</v>
      </c>
      <c r="AD84" s="1">
        <f t="shared" si="256"/>
        <v>0</v>
      </c>
      <c r="AE84" s="1">
        <f t="shared" si="256"/>
        <v>0</v>
      </c>
      <c r="AF84" s="1">
        <f t="shared" si="256"/>
        <v>0</v>
      </c>
      <c r="AG84" s="1">
        <f t="shared" si="256"/>
        <v>0</v>
      </c>
      <c r="AH84" s="1">
        <f t="shared" si="256"/>
        <v>0</v>
      </c>
      <c r="AI84" s="1">
        <f t="shared" si="256"/>
        <v>0</v>
      </c>
      <c r="AJ84" s="1">
        <f t="shared" si="256"/>
        <v>0</v>
      </c>
      <c r="AK84" s="1">
        <f t="shared" si="256"/>
        <v>0</v>
      </c>
      <c r="AL84" s="1">
        <f t="shared" si="256"/>
        <v>0</v>
      </c>
      <c r="AM84" s="1">
        <f t="shared" si="256"/>
        <v>0</v>
      </c>
      <c r="AN84" s="1">
        <f>IF($B76&gt;=AN80,$B78-(AN81-PV($B74/12,12*($B75-AN80),-$B77)),0)</f>
        <v>0</v>
      </c>
      <c r="AO84" s="1">
        <f t="shared" ref="AO84" si="257">IF($B76&gt;=AO80,$B78-(AO81-PV($B74/12,12*($B75-AO80),-$B77)),0)</f>
        <v>0</v>
      </c>
    </row>
    <row r="85" spans="1:41" outlineLevel="2" x14ac:dyDescent="0.2">
      <c r="A85" s="13" t="s">
        <v>422</v>
      </c>
      <c r="B85" s="1">
        <f>B83+B84</f>
        <v>0</v>
      </c>
      <c r="C85" s="1">
        <f t="shared" ref="C85" si="258">C83+C84</f>
        <v>0</v>
      </c>
      <c r="D85" s="1">
        <f>D83+D84</f>
        <v>0</v>
      </c>
      <c r="E85" s="1">
        <f t="shared" ref="E85:AO85" si="259">E83+E84</f>
        <v>0</v>
      </c>
      <c r="F85" s="1">
        <f t="shared" si="259"/>
        <v>0</v>
      </c>
      <c r="G85" s="1">
        <f t="shared" si="259"/>
        <v>0</v>
      </c>
      <c r="H85" s="1">
        <f t="shared" si="259"/>
        <v>0</v>
      </c>
      <c r="I85" s="1">
        <f t="shared" si="259"/>
        <v>0</v>
      </c>
      <c r="J85" s="1">
        <f t="shared" si="259"/>
        <v>0</v>
      </c>
      <c r="K85" s="1">
        <f t="shared" si="259"/>
        <v>0</v>
      </c>
      <c r="L85" s="1">
        <f>L83+L84</f>
        <v>0</v>
      </c>
      <c r="M85" s="1">
        <f t="shared" si="259"/>
        <v>0</v>
      </c>
      <c r="N85" s="1">
        <f t="shared" si="259"/>
        <v>0</v>
      </c>
      <c r="O85" s="1">
        <f t="shared" si="259"/>
        <v>0</v>
      </c>
      <c r="P85" s="1">
        <f t="shared" si="259"/>
        <v>0</v>
      </c>
      <c r="Q85" s="1">
        <f t="shared" si="259"/>
        <v>0</v>
      </c>
      <c r="R85" s="1">
        <f t="shared" si="259"/>
        <v>0</v>
      </c>
      <c r="S85" s="1">
        <f t="shared" si="259"/>
        <v>0</v>
      </c>
      <c r="T85" s="1">
        <f t="shared" si="259"/>
        <v>0</v>
      </c>
      <c r="U85" s="1">
        <f t="shared" si="259"/>
        <v>0</v>
      </c>
      <c r="V85" s="1">
        <f t="shared" si="259"/>
        <v>0</v>
      </c>
      <c r="W85" s="1">
        <f t="shared" si="259"/>
        <v>0</v>
      </c>
      <c r="X85" s="1">
        <f t="shared" si="259"/>
        <v>0</v>
      </c>
      <c r="Y85" s="1">
        <f t="shared" si="259"/>
        <v>0</v>
      </c>
      <c r="Z85" s="1">
        <f t="shared" si="259"/>
        <v>0</v>
      </c>
      <c r="AA85" s="1">
        <f t="shared" si="259"/>
        <v>0</v>
      </c>
      <c r="AB85" s="1">
        <f t="shared" si="259"/>
        <v>0</v>
      </c>
      <c r="AC85" s="1">
        <f t="shared" si="259"/>
        <v>0</v>
      </c>
      <c r="AD85" s="1">
        <f t="shared" si="259"/>
        <v>0</v>
      </c>
      <c r="AE85" s="1">
        <f t="shared" si="259"/>
        <v>0</v>
      </c>
      <c r="AF85" s="1">
        <f t="shared" si="259"/>
        <v>0</v>
      </c>
      <c r="AG85" s="1">
        <f t="shared" si="259"/>
        <v>0</v>
      </c>
      <c r="AH85" s="1">
        <f t="shared" si="259"/>
        <v>0</v>
      </c>
      <c r="AI85" s="1">
        <f t="shared" si="259"/>
        <v>0</v>
      </c>
      <c r="AJ85" s="1">
        <f t="shared" si="259"/>
        <v>0</v>
      </c>
      <c r="AK85" s="1">
        <f t="shared" si="259"/>
        <v>0</v>
      </c>
      <c r="AL85" s="1">
        <f t="shared" si="259"/>
        <v>0</v>
      </c>
      <c r="AM85" s="1">
        <f t="shared" si="259"/>
        <v>0</v>
      </c>
      <c r="AN85" s="1">
        <f t="shared" si="259"/>
        <v>0</v>
      </c>
      <c r="AO85" s="1">
        <f t="shared" si="259"/>
        <v>0</v>
      </c>
    </row>
    <row r="86" spans="1:41" outlineLevel="1" x14ac:dyDescent="0.2">
      <c r="A86" s="13"/>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row>
    <row r="87" spans="1:41" outlineLevel="2" x14ac:dyDescent="0.2">
      <c r="A87" s="13"/>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row>
    <row r="88" spans="1:41" ht="15" outlineLevel="2" x14ac:dyDescent="0.25">
      <c r="A88" s="292" t="str">
        <f>assumptions!A26</f>
        <v>[Additional Field - Specify] (Amortizing)</v>
      </c>
    </row>
    <row r="89" spans="1:41" ht="15" outlineLevel="2" x14ac:dyDescent="0.25">
      <c r="A89" s="292"/>
    </row>
    <row r="90" spans="1:41" outlineLevel="2" x14ac:dyDescent="0.2">
      <c r="A90" s="296" t="s">
        <v>413</v>
      </c>
      <c r="B90" s="1">
        <f>assumptions!B26</f>
        <v>0</v>
      </c>
    </row>
    <row r="91" spans="1:41" outlineLevel="2" x14ac:dyDescent="0.2">
      <c r="A91" s="296" t="s">
        <v>414</v>
      </c>
      <c r="B91" s="5">
        <f>assumptions!D26</f>
        <v>0</v>
      </c>
    </row>
    <row r="92" spans="1:41" outlineLevel="2" x14ac:dyDescent="0.2">
      <c r="A92" s="296" t="s">
        <v>415</v>
      </c>
      <c r="B92" s="1">
        <f>assumptions!E26</f>
        <v>0</v>
      </c>
    </row>
    <row r="93" spans="1:41" outlineLevel="2" x14ac:dyDescent="0.2">
      <c r="A93" s="296" t="s">
        <v>416</v>
      </c>
      <c r="B93" s="1">
        <f>assumptions!F26</f>
        <v>0</v>
      </c>
    </row>
    <row r="94" spans="1:41" outlineLevel="2" x14ac:dyDescent="0.2">
      <c r="A94" s="296" t="s">
        <v>417</v>
      </c>
      <c r="B94" s="1">
        <f>IF(B90=0,0,PMT(B91/12,B92*12,-B90))</f>
        <v>0</v>
      </c>
    </row>
    <row r="95" spans="1:41" outlineLevel="2" x14ac:dyDescent="0.2">
      <c r="A95" s="296" t="s">
        <v>418</v>
      </c>
      <c r="B95" s="1">
        <f>B94*12</f>
        <v>0</v>
      </c>
    </row>
    <row r="96" spans="1:41" outlineLevel="2" x14ac:dyDescent="0.2"/>
    <row r="97" spans="1:41" outlineLevel="2" x14ac:dyDescent="0.2">
      <c r="A97" s="295" t="s">
        <v>419</v>
      </c>
      <c r="B97" s="294">
        <v>1</v>
      </c>
      <c r="C97" s="294">
        <f t="shared" ref="C97" si="260">B97+1</f>
        <v>2</v>
      </c>
      <c r="D97" s="294">
        <f t="shared" ref="D97" si="261">C97+1</f>
        <v>3</v>
      </c>
      <c r="E97" s="294">
        <f t="shared" ref="E97" si="262">D97+1</f>
        <v>4</v>
      </c>
      <c r="F97" s="294">
        <f t="shared" ref="F97" si="263">E97+1</f>
        <v>5</v>
      </c>
      <c r="G97" s="294">
        <f t="shared" ref="G97" si="264">F97+1</f>
        <v>6</v>
      </c>
      <c r="H97" s="294">
        <f t="shared" ref="H97" si="265">G97+1</f>
        <v>7</v>
      </c>
      <c r="I97" s="294">
        <f t="shared" ref="I97" si="266">H97+1</f>
        <v>8</v>
      </c>
      <c r="J97" s="294">
        <f t="shared" ref="J97" si="267">I97+1</f>
        <v>9</v>
      </c>
      <c r="K97" s="294">
        <f t="shared" ref="K97" si="268">J97+1</f>
        <v>10</v>
      </c>
      <c r="L97" s="294">
        <f t="shared" ref="L97" si="269">K97+1</f>
        <v>11</v>
      </c>
      <c r="M97" s="294">
        <f t="shared" ref="M97" si="270">L97+1</f>
        <v>12</v>
      </c>
      <c r="N97" s="294">
        <f t="shared" ref="N97" si="271">M97+1</f>
        <v>13</v>
      </c>
      <c r="O97" s="294">
        <f t="shared" ref="O97" si="272">N97+1</f>
        <v>14</v>
      </c>
      <c r="P97" s="294">
        <f t="shared" ref="P97" si="273">O97+1</f>
        <v>15</v>
      </c>
      <c r="Q97" s="294">
        <f t="shared" ref="Q97" si="274">P97+1</f>
        <v>16</v>
      </c>
      <c r="R97" s="294">
        <f t="shared" ref="R97" si="275">Q97+1</f>
        <v>17</v>
      </c>
      <c r="S97" s="294">
        <f t="shared" ref="S97" si="276">R97+1</f>
        <v>18</v>
      </c>
      <c r="T97" s="294">
        <f t="shared" ref="T97" si="277">S97+1</f>
        <v>19</v>
      </c>
      <c r="U97" s="294">
        <f t="shared" ref="U97" si="278">T97+1</f>
        <v>20</v>
      </c>
      <c r="V97" s="294">
        <f t="shared" ref="V97" si="279">U97+1</f>
        <v>21</v>
      </c>
      <c r="W97" s="294">
        <f t="shared" ref="W97" si="280">V97+1</f>
        <v>22</v>
      </c>
      <c r="X97" s="294">
        <f t="shared" ref="X97" si="281">W97+1</f>
        <v>23</v>
      </c>
      <c r="Y97" s="294">
        <f t="shared" ref="Y97" si="282">X97+1</f>
        <v>24</v>
      </c>
      <c r="Z97" s="294">
        <f t="shared" ref="Z97" si="283">Y97+1</f>
        <v>25</v>
      </c>
      <c r="AA97" s="294">
        <f t="shared" ref="AA97" si="284">Z97+1</f>
        <v>26</v>
      </c>
      <c r="AB97" s="294">
        <f t="shared" ref="AB97" si="285">AA97+1</f>
        <v>27</v>
      </c>
      <c r="AC97" s="294">
        <f t="shared" ref="AC97" si="286">AB97+1</f>
        <v>28</v>
      </c>
      <c r="AD97" s="294">
        <f t="shared" ref="AD97" si="287">AC97+1</f>
        <v>29</v>
      </c>
      <c r="AE97" s="294">
        <f t="shared" ref="AE97" si="288">AD97+1</f>
        <v>30</v>
      </c>
      <c r="AF97" s="294">
        <f t="shared" ref="AF97" si="289">AE97+1</f>
        <v>31</v>
      </c>
      <c r="AG97" s="294">
        <f t="shared" ref="AG97" si="290">AF97+1</f>
        <v>32</v>
      </c>
      <c r="AH97" s="294">
        <f t="shared" ref="AH97" si="291">AG97+1</f>
        <v>33</v>
      </c>
      <c r="AI97" s="294">
        <f t="shared" ref="AI97" si="292">AH97+1</f>
        <v>34</v>
      </c>
      <c r="AJ97" s="294">
        <f t="shared" ref="AJ97" si="293">AI97+1</f>
        <v>35</v>
      </c>
      <c r="AK97" s="294">
        <f t="shared" ref="AK97" si="294">AJ97+1</f>
        <v>36</v>
      </c>
      <c r="AL97" s="294">
        <f t="shared" ref="AL97" si="295">AK97+1</f>
        <v>37</v>
      </c>
      <c r="AM97" s="294">
        <f t="shared" ref="AM97" si="296">AL97+1</f>
        <v>38</v>
      </c>
      <c r="AN97" s="294">
        <f t="shared" ref="AN97" si="297">AM97+1</f>
        <v>39</v>
      </c>
      <c r="AO97" s="294">
        <f t="shared" ref="AO97" si="298">AN97+1</f>
        <v>40</v>
      </c>
    </row>
    <row r="98" spans="1:41" outlineLevel="2" x14ac:dyDescent="0.2">
      <c r="A98" s="13" t="s">
        <v>420</v>
      </c>
      <c r="B98" s="1">
        <f>B90</f>
        <v>0</v>
      </c>
      <c r="C98" s="1">
        <f>B99</f>
        <v>0</v>
      </c>
      <c r="D98" s="1">
        <f>C99</f>
        <v>0</v>
      </c>
      <c r="E98" s="1">
        <f>D99</f>
        <v>0</v>
      </c>
      <c r="F98" s="1">
        <f t="shared" ref="F98" si="299">E99</f>
        <v>0</v>
      </c>
      <c r="G98" s="1">
        <f t="shared" ref="G98" si="300">F99</f>
        <v>0</v>
      </c>
      <c r="H98" s="1">
        <f t="shared" ref="H98" si="301">G99</f>
        <v>0</v>
      </c>
      <c r="I98" s="1">
        <f t="shared" ref="I98" si="302">H99</f>
        <v>0</v>
      </c>
      <c r="J98" s="1">
        <f t="shared" ref="J98" si="303">I99</f>
        <v>0</v>
      </c>
      <c r="K98" s="1">
        <f t="shared" ref="K98" si="304">J99</f>
        <v>0</v>
      </c>
      <c r="L98" s="1">
        <f t="shared" ref="L98" si="305">K99</f>
        <v>0</v>
      </c>
      <c r="M98" s="1">
        <f t="shared" ref="M98" si="306">L99</f>
        <v>0</v>
      </c>
      <c r="N98" s="1">
        <f t="shared" ref="N98" si="307">M99</f>
        <v>0</v>
      </c>
      <c r="O98" s="1">
        <f t="shared" ref="O98" si="308">N99</f>
        <v>0</v>
      </c>
      <c r="P98" s="1">
        <f t="shared" ref="P98" si="309">O99</f>
        <v>0</v>
      </c>
      <c r="Q98" s="1">
        <f t="shared" ref="Q98" si="310">P99</f>
        <v>0</v>
      </c>
      <c r="R98" s="1">
        <f t="shared" ref="R98" si="311">Q99</f>
        <v>0</v>
      </c>
      <c r="S98" s="1">
        <f t="shared" ref="S98" si="312">R99</f>
        <v>0</v>
      </c>
      <c r="T98" s="1">
        <f t="shared" ref="T98" si="313">S99</f>
        <v>0</v>
      </c>
      <c r="U98" s="1">
        <f t="shared" ref="U98" si="314">T99</f>
        <v>0</v>
      </c>
      <c r="V98" s="1">
        <f t="shared" ref="V98" si="315">U99</f>
        <v>0</v>
      </c>
      <c r="W98" s="1">
        <f t="shared" ref="W98" si="316">V99</f>
        <v>0</v>
      </c>
      <c r="X98" s="1">
        <f t="shared" ref="X98" si="317">W99</f>
        <v>0</v>
      </c>
      <c r="Y98" s="1">
        <f t="shared" ref="Y98" si="318">X99</f>
        <v>0</v>
      </c>
      <c r="Z98" s="1">
        <f t="shared" ref="Z98" si="319">Y99</f>
        <v>0</v>
      </c>
      <c r="AA98" s="1">
        <f t="shared" ref="AA98" si="320">Z99</f>
        <v>0</v>
      </c>
      <c r="AB98" s="1">
        <f t="shared" ref="AB98" si="321">AA99</f>
        <v>0</v>
      </c>
      <c r="AC98" s="1">
        <f t="shared" ref="AC98" si="322">AB99</f>
        <v>0</v>
      </c>
      <c r="AD98" s="1">
        <f t="shared" ref="AD98" si="323">AC99</f>
        <v>0</v>
      </c>
      <c r="AE98" s="1">
        <f t="shared" ref="AE98" si="324">AD99</f>
        <v>0</v>
      </c>
      <c r="AF98" s="1">
        <f t="shared" ref="AF98" si="325">AE99</f>
        <v>0</v>
      </c>
      <c r="AG98" s="1">
        <f t="shared" ref="AG98" si="326">AF99</f>
        <v>0</v>
      </c>
      <c r="AH98" s="1">
        <f t="shared" ref="AH98" si="327">AG99</f>
        <v>0</v>
      </c>
      <c r="AI98" s="1">
        <f t="shared" ref="AI98" si="328">AH99</f>
        <v>0</v>
      </c>
      <c r="AJ98" s="1">
        <f t="shared" ref="AJ98" si="329">AI99</f>
        <v>0</v>
      </c>
      <c r="AK98" s="1">
        <f t="shared" ref="AK98" si="330">AJ99</f>
        <v>0</v>
      </c>
      <c r="AL98" s="1">
        <f t="shared" ref="AL98" si="331">AK99</f>
        <v>0</v>
      </c>
      <c r="AM98" s="1">
        <f t="shared" ref="AM98" si="332">AL99</f>
        <v>0</v>
      </c>
      <c r="AN98" s="1">
        <f t="shared" ref="AN98" si="333">AM99</f>
        <v>0</v>
      </c>
      <c r="AO98" s="1">
        <f t="shared" ref="AO98" si="334">AN99</f>
        <v>0</v>
      </c>
    </row>
    <row r="99" spans="1:41" outlineLevel="2" x14ac:dyDescent="0.2">
      <c r="A99" s="13" t="s">
        <v>421</v>
      </c>
      <c r="B99" s="1">
        <f>PV($B$91/12,12*($B$92-B$97),-$B$94)</f>
        <v>0</v>
      </c>
      <c r="C99" s="1">
        <f>IF($B93&lt;=C97,0,PV($B91/12,12*($B92-C97),-$B94))</f>
        <v>0</v>
      </c>
      <c r="D99" s="1">
        <f>IF($B93&lt;=D97,0,PV($B91/12,12*($B92-D97),-$B94))</f>
        <v>0</v>
      </c>
      <c r="E99" s="1">
        <f>IF($B93&lt;=E97,0,PV($B91/12,12*($B92-E97),-$B94))</f>
        <v>0</v>
      </c>
      <c r="F99" s="1">
        <f t="shared" ref="F99:AO99" si="335">IF($B93&lt;=F97,0,PV($B91/12,12*($B92-F97),-$B94))</f>
        <v>0</v>
      </c>
      <c r="G99" s="1">
        <f t="shared" si="335"/>
        <v>0</v>
      </c>
      <c r="H99" s="1">
        <f t="shared" si="335"/>
        <v>0</v>
      </c>
      <c r="I99" s="1">
        <f t="shared" si="335"/>
        <v>0</v>
      </c>
      <c r="J99" s="1">
        <f t="shared" si="335"/>
        <v>0</v>
      </c>
      <c r="K99" s="1">
        <f>IF($B93&lt;=K97,0,PV($B91/12,12*($B92-K97),-$B94))</f>
        <v>0</v>
      </c>
      <c r="L99" s="1">
        <f t="shared" si="335"/>
        <v>0</v>
      </c>
      <c r="M99" s="1">
        <f t="shared" si="335"/>
        <v>0</v>
      </c>
      <c r="N99" s="1">
        <f t="shared" si="335"/>
        <v>0</v>
      </c>
      <c r="O99" s="1">
        <f t="shared" si="335"/>
        <v>0</v>
      </c>
      <c r="P99" s="1">
        <f t="shared" si="335"/>
        <v>0</v>
      </c>
      <c r="Q99" s="1">
        <f t="shared" si="335"/>
        <v>0</v>
      </c>
      <c r="R99" s="1">
        <f t="shared" si="335"/>
        <v>0</v>
      </c>
      <c r="S99" s="1">
        <f t="shared" si="335"/>
        <v>0</v>
      </c>
      <c r="T99" s="1">
        <f t="shared" si="335"/>
        <v>0</v>
      </c>
      <c r="U99" s="1">
        <f t="shared" si="335"/>
        <v>0</v>
      </c>
      <c r="V99" s="1">
        <f t="shared" si="335"/>
        <v>0</v>
      </c>
      <c r="W99" s="1">
        <f t="shared" si="335"/>
        <v>0</v>
      </c>
      <c r="X99" s="1">
        <f t="shared" si="335"/>
        <v>0</v>
      </c>
      <c r="Y99" s="1">
        <f t="shared" si="335"/>
        <v>0</v>
      </c>
      <c r="Z99" s="1">
        <f t="shared" si="335"/>
        <v>0</v>
      </c>
      <c r="AA99" s="1">
        <f t="shared" si="335"/>
        <v>0</v>
      </c>
      <c r="AB99" s="1">
        <f t="shared" si="335"/>
        <v>0</v>
      </c>
      <c r="AC99" s="1">
        <f t="shared" si="335"/>
        <v>0</v>
      </c>
      <c r="AD99" s="1">
        <f t="shared" si="335"/>
        <v>0</v>
      </c>
      <c r="AE99" s="1">
        <f t="shared" si="335"/>
        <v>0</v>
      </c>
      <c r="AF99" s="1">
        <f t="shared" si="335"/>
        <v>0</v>
      </c>
      <c r="AG99" s="1">
        <f t="shared" si="335"/>
        <v>0</v>
      </c>
      <c r="AH99" s="1">
        <f t="shared" si="335"/>
        <v>0</v>
      </c>
      <c r="AI99" s="1">
        <f t="shared" si="335"/>
        <v>0</v>
      </c>
      <c r="AJ99" s="1">
        <f t="shared" si="335"/>
        <v>0</v>
      </c>
      <c r="AK99" s="1">
        <f t="shared" si="335"/>
        <v>0</v>
      </c>
      <c r="AL99" s="1">
        <f t="shared" si="335"/>
        <v>0</v>
      </c>
      <c r="AM99" s="1">
        <f t="shared" si="335"/>
        <v>0</v>
      </c>
      <c r="AN99" s="1">
        <f t="shared" si="335"/>
        <v>0</v>
      </c>
      <c r="AO99" s="1">
        <f t="shared" si="335"/>
        <v>0</v>
      </c>
    </row>
    <row r="100" spans="1:41" outlineLevel="2" x14ac:dyDescent="0.2">
      <c r="A100" s="13" t="s">
        <v>413</v>
      </c>
      <c r="B100" s="1">
        <f>B98-B99</f>
        <v>0</v>
      </c>
      <c r="C100" s="12">
        <f>IF($B93&lt;=C97,C98,C98-PV($B91/12,12*($B92-C97),-$B94))</f>
        <v>0</v>
      </c>
      <c r="D100" s="12">
        <f>IF($B93&lt;=D97,D98,D98-PV($B91/12,12*($B92-D97),-$B94))</f>
        <v>0</v>
      </c>
      <c r="E100" s="12">
        <f>IF($B93&lt;=E97,E98,E98-PV($B91/12,12*($B92-E97),-$B94))</f>
        <v>0</v>
      </c>
      <c r="F100" s="12">
        <f t="shared" ref="F100:K100" si="336">IF($B93&lt;=F97,F98,F98-PV($B91/12,12*($B92-F97),-$B94))</f>
        <v>0</v>
      </c>
      <c r="G100" s="12">
        <f t="shared" si="336"/>
        <v>0</v>
      </c>
      <c r="H100" s="12">
        <f t="shared" si="336"/>
        <v>0</v>
      </c>
      <c r="I100" s="12">
        <f t="shared" si="336"/>
        <v>0</v>
      </c>
      <c r="J100" s="12">
        <f t="shared" si="336"/>
        <v>0</v>
      </c>
      <c r="K100" s="12">
        <f t="shared" si="336"/>
        <v>0</v>
      </c>
      <c r="L100" s="12">
        <f>IF($B93&lt;=L97,L98,L98-PV($B91/12,12*($B92-L97),-$B94))</f>
        <v>0</v>
      </c>
      <c r="M100" s="12">
        <f t="shared" ref="M100:AO100" si="337">IF($B93&lt;=M97,M98,M98-PV($B91/12,12*($B92-M97),-$B94))</f>
        <v>0</v>
      </c>
      <c r="N100" s="12">
        <f t="shared" si="337"/>
        <v>0</v>
      </c>
      <c r="O100" s="12">
        <f t="shared" si="337"/>
        <v>0</v>
      </c>
      <c r="P100" s="12">
        <f t="shared" si="337"/>
        <v>0</v>
      </c>
      <c r="Q100" s="12">
        <f t="shared" si="337"/>
        <v>0</v>
      </c>
      <c r="R100" s="12">
        <f t="shared" si="337"/>
        <v>0</v>
      </c>
      <c r="S100" s="12">
        <f t="shared" si="337"/>
        <v>0</v>
      </c>
      <c r="T100" s="12">
        <f t="shared" si="337"/>
        <v>0</v>
      </c>
      <c r="U100" s="12">
        <f t="shared" si="337"/>
        <v>0</v>
      </c>
      <c r="V100" s="12">
        <f t="shared" si="337"/>
        <v>0</v>
      </c>
      <c r="W100" s="12">
        <f t="shared" si="337"/>
        <v>0</v>
      </c>
      <c r="X100" s="12">
        <f t="shared" si="337"/>
        <v>0</v>
      </c>
      <c r="Y100" s="12">
        <f t="shared" si="337"/>
        <v>0</v>
      </c>
      <c r="Z100" s="12">
        <f t="shared" si="337"/>
        <v>0</v>
      </c>
      <c r="AA100" s="12">
        <f t="shared" si="337"/>
        <v>0</v>
      </c>
      <c r="AB100" s="12">
        <f t="shared" si="337"/>
        <v>0</v>
      </c>
      <c r="AC100" s="12">
        <f t="shared" si="337"/>
        <v>0</v>
      </c>
      <c r="AD100" s="12">
        <f t="shared" si="337"/>
        <v>0</v>
      </c>
      <c r="AE100" s="12">
        <f t="shared" si="337"/>
        <v>0</v>
      </c>
      <c r="AF100" s="12">
        <f t="shared" si="337"/>
        <v>0</v>
      </c>
      <c r="AG100" s="12">
        <f t="shared" si="337"/>
        <v>0</v>
      </c>
      <c r="AH100" s="12">
        <f t="shared" si="337"/>
        <v>0</v>
      </c>
      <c r="AI100" s="12">
        <f t="shared" si="337"/>
        <v>0</v>
      </c>
      <c r="AJ100" s="12">
        <f t="shared" si="337"/>
        <v>0</v>
      </c>
      <c r="AK100" s="12">
        <f t="shared" si="337"/>
        <v>0</v>
      </c>
      <c r="AL100" s="12">
        <f t="shared" si="337"/>
        <v>0</v>
      </c>
      <c r="AM100" s="12">
        <f t="shared" si="337"/>
        <v>0</v>
      </c>
      <c r="AN100" s="12">
        <f t="shared" si="337"/>
        <v>0</v>
      </c>
      <c r="AO100" s="12">
        <f t="shared" si="337"/>
        <v>0</v>
      </c>
    </row>
    <row r="101" spans="1:41" outlineLevel="2" x14ac:dyDescent="0.2">
      <c r="A101" s="13" t="s">
        <v>414</v>
      </c>
      <c r="B101" s="1">
        <f>$B$95-B100</f>
        <v>0</v>
      </c>
      <c r="C101" s="1">
        <f>IF($B93&gt;=C97,$B95-(C98-PV($B91/12,12*($B92-C97),-$B94)),0)</f>
        <v>0</v>
      </c>
      <c r="D101" s="1">
        <f>IF($B93&gt;=D97,$B95-(D98-PV($B91/12,12*($B92-D97),-$B94)),0)</f>
        <v>0</v>
      </c>
      <c r="E101" s="1">
        <f t="shared" ref="E101" si="338">IF($B93&gt;=E97,$B95-(E98-PV($B91/12,12*($B92-E97),-$B94)),0)</f>
        <v>0</v>
      </c>
      <c r="F101" s="1">
        <f>IF($B93&gt;=F97,$B95-(F98-PV($B91/12,12*($B92-F97),-$B94)),0)</f>
        <v>0</v>
      </c>
      <c r="G101" s="1">
        <f t="shared" ref="G101:K101" si="339">IF($B93&gt;=G97,$B95-(G98-PV($B91/12,12*($B92-G97),-$B94)),0)</f>
        <v>0</v>
      </c>
      <c r="H101" s="1">
        <f t="shared" si="339"/>
        <v>0</v>
      </c>
      <c r="I101" s="1">
        <f t="shared" si="339"/>
        <v>0</v>
      </c>
      <c r="J101" s="1">
        <f t="shared" si="339"/>
        <v>0</v>
      </c>
      <c r="K101" s="1">
        <f t="shared" si="339"/>
        <v>0</v>
      </c>
      <c r="L101" s="1">
        <f>IF($B93&gt;=L97,$B95-(L98-PV($B91/12,12*($B92-L97),-$B94)),0)</f>
        <v>0</v>
      </c>
      <c r="M101" s="1">
        <f t="shared" ref="M101:AM101" si="340">IF($B93&gt;=M97,$B95-(M98-PV($B91/12,12*($B92-M97),-$B94)),0)</f>
        <v>0</v>
      </c>
      <c r="N101" s="1">
        <f t="shared" si="340"/>
        <v>0</v>
      </c>
      <c r="O101" s="1">
        <f t="shared" si="340"/>
        <v>0</v>
      </c>
      <c r="P101" s="1">
        <f t="shared" si="340"/>
        <v>0</v>
      </c>
      <c r="Q101" s="1">
        <f t="shared" si="340"/>
        <v>0</v>
      </c>
      <c r="R101" s="1">
        <f t="shared" si="340"/>
        <v>0</v>
      </c>
      <c r="S101" s="1">
        <f t="shared" si="340"/>
        <v>0</v>
      </c>
      <c r="T101" s="1">
        <f t="shared" si="340"/>
        <v>0</v>
      </c>
      <c r="U101" s="1">
        <f t="shared" si="340"/>
        <v>0</v>
      </c>
      <c r="V101" s="1">
        <f t="shared" si="340"/>
        <v>0</v>
      </c>
      <c r="W101" s="1">
        <f t="shared" si="340"/>
        <v>0</v>
      </c>
      <c r="X101" s="1">
        <f t="shared" si="340"/>
        <v>0</v>
      </c>
      <c r="Y101" s="1">
        <f t="shared" si="340"/>
        <v>0</v>
      </c>
      <c r="Z101" s="1">
        <f t="shared" si="340"/>
        <v>0</v>
      </c>
      <c r="AA101" s="1">
        <f t="shared" si="340"/>
        <v>0</v>
      </c>
      <c r="AB101" s="1">
        <f t="shared" si="340"/>
        <v>0</v>
      </c>
      <c r="AC101" s="1">
        <f t="shared" si="340"/>
        <v>0</v>
      </c>
      <c r="AD101" s="1">
        <f t="shared" si="340"/>
        <v>0</v>
      </c>
      <c r="AE101" s="1">
        <f t="shared" si="340"/>
        <v>0</v>
      </c>
      <c r="AF101" s="1">
        <f t="shared" si="340"/>
        <v>0</v>
      </c>
      <c r="AG101" s="1">
        <f t="shared" si="340"/>
        <v>0</v>
      </c>
      <c r="AH101" s="1">
        <f t="shared" si="340"/>
        <v>0</v>
      </c>
      <c r="AI101" s="1">
        <f t="shared" si="340"/>
        <v>0</v>
      </c>
      <c r="AJ101" s="1">
        <f t="shared" si="340"/>
        <v>0</v>
      </c>
      <c r="AK101" s="1">
        <f t="shared" si="340"/>
        <v>0</v>
      </c>
      <c r="AL101" s="1">
        <f t="shared" si="340"/>
        <v>0</v>
      </c>
      <c r="AM101" s="1">
        <f t="shared" si="340"/>
        <v>0</v>
      </c>
      <c r="AN101" s="1">
        <f>IF($B93&gt;=AN97,$B95-(AN98-PV($B91/12,12*($B92-AN97),-$B94)),0)</f>
        <v>0</v>
      </c>
      <c r="AO101" s="1">
        <f t="shared" ref="AO101" si="341">IF($B93&gt;=AO97,$B95-(AO98-PV($B91/12,12*($B92-AO97),-$B94)),0)</f>
        <v>0</v>
      </c>
    </row>
    <row r="102" spans="1:41" outlineLevel="2" x14ac:dyDescent="0.2">
      <c r="A102" s="13" t="s">
        <v>422</v>
      </c>
      <c r="B102" s="1">
        <f>B100+B101</f>
        <v>0</v>
      </c>
      <c r="C102" s="1">
        <f>C100+C101</f>
        <v>0</v>
      </c>
      <c r="D102" s="1">
        <f>D100+D101</f>
        <v>0</v>
      </c>
      <c r="E102" s="1">
        <f t="shared" ref="E102:K102" si="342">E100+E101</f>
        <v>0</v>
      </c>
      <c r="F102" s="1">
        <f t="shared" si="342"/>
        <v>0</v>
      </c>
      <c r="G102" s="1">
        <f t="shared" si="342"/>
        <v>0</v>
      </c>
      <c r="H102" s="1">
        <f t="shared" si="342"/>
        <v>0</v>
      </c>
      <c r="I102" s="1">
        <f t="shared" si="342"/>
        <v>0</v>
      </c>
      <c r="J102" s="1">
        <f t="shared" si="342"/>
        <v>0</v>
      </c>
      <c r="K102" s="1">
        <f t="shared" si="342"/>
        <v>0</v>
      </c>
      <c r="L102" s="1">
        <f>L100+L101</f>
        <v>0</v>
      </c>
      <c r="M102" s="1">
        <f t="shared" ref="M102:AO102" si="343">M100+M101</f>
        <v>0</v>
      </c>
      <c r="N102" s="1">
        <f t="shared" si="343"/>
        <v>0</v>
      </c>
      <c r="O102" s="1">
        <f t="shared" si="343"/>
        <v>0</v>
      </c>
      <c r="P102" s="1">
        <f t="shared" si="343"/>
        <v>0</v>
      </c>
      <c r="Q102" s="1">
        <f t="shared" si="343"/>
        <v>0</v>
      </c>
      <c r="R102" s="1">
        <f t="shared" si="343"/>
        <v>0</v>
      </c>
      <c r="S102" s="1">
        <f t="shared" si="343"/>
        <v>0</v>
      </c>
      <c r="T102" s="1">
        <f t="shared" si="343"/>
        <v>0</v>
      </c>
      <c r="U102" s="1">
        <f t="shared" si="343"/>
        <v>0</v>
      </c>
      <c r="V102" s="1">
        <f t="shared" si="343"/>
        <v>0</v>
      </c>
      <c r="W102" s="1">
        <f t="shared" si="343"/>
        <v>0</v>
      </c>
      <c r="X102" s="1">
        <f t="shared" si="343"/>
        <v>0</v>
      </c>
      <c r="Y102" s="1">
        <f t="shared" si="343"/>
        <v>0</v>
      </c>
      <c r="Z102" s="1">
        <f t="shared" si="343"/>
        <v>0</v>
      </c>
      <c r="AA102" s="1">
        <f t="shared" si="343"/>
        <v>0</v>
      </c>
      <c r="AB102" s="1">
        <f t="shared" si="343"/>
        <v>0</v>
      </c>
      <c r="AC102" s="1">
        <f t="shared" si="343"/>
        <v>0</v>
      </c>
      <c r="AD102" s="1">
        <f t="shared" si="343"/>
        <v>0</v>
      </c>
      <c r="AE102" s="1">
        <f t="shared" si="343"/>
        <v>0</v>
      </c>
      <c r="AF102" s="1">
        <f t="shared" si="343"/>
        <v>0</v>
      </c>
      <c r="AG102" s="1">
        <f t="shared" si="343"/>
        <v>0</v>
      </c>
      <c r="AH102" s="1">
        <f t="shared" si="343"/>
        <v>0</v>
      </c>
      <c r="AI102" s="1">
        <f t="shared" si="343"/>
        <v>0</v>
      </c>
      <c r="AJ102" s="1">
        <f t="shared" si="343"/>
        <v>0</v>
      </c>
      <c r="AK102" s="1">
        <f t="shared" si="343"/>
        <v>0</v>
      </c>
      <c r="AL102" s="1">
        <f t="shared" si="343"/>
        <v>0</v>
      </c>
      <c r="AM102" s="1">
        <f t="shared" si="343"/>
        <v>0</v>
      </c>
      <c r="AN102" s="1">
        <f t="shared" si="343"/>
        <v>0</v>
      </c>
      <c r="AO102" s="1">
        <f t="shared" si="343"/>
        <v>0</v>
      </c>
    </row>
    <row r="103" spans="1:41" outlineLevel="1" x14ac:dyDescent="0.2">
      <c r="A103" s="13"/>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row>
    <row r="104" spans="1:41" x14ac:dyDescent="0.2">
      <c r="A104" s="13"/>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row>
    <row r="105" spans="1:41" s="72" customFormat="1" ht="15" x14ac:dyDescent="0.25">
      <c r="A105" s="298" t="str">
        <f>assumptions!A27</f>
        <v>AHP</v>
      </c>
    </row>
    <row r="106" spans="1:41" s="72" customFormat="1" x14ac:dyDescent="0.2"/>
    <row r="107" spans="1:41" s="72" customFormat="1" x14ac:dyDescent="0.2">
      <c r="A107" s="301" t="s">
        <v>413</v>
      </c>
      <c r="B107" s="300">
        <f>assumptions!B27</f>
        <v>0</v>
      </c>
    </row>
    <row r="108" spans="1:41" s="72" customFormat="1" x14ac:dyDescent="0.2">
      <c r="A108" s="301" t="s">
        <v>414</v>
      </c>
      <c r="B108" s="306">
        <f>assumptions!D27</f>
        <v>0</v>
      </c>
    </row>
    <row r="109" spans="1:41" s="72" customFormat="1" x14ac:dyDescent="0.2">
      <c r="A109" s="297" t="s">
        <v>415</v>
      </c>
      <c r="B109" s="300">
        <f>assumptions!E27</f>
        <v>0</v>
      </c>
    </row>
    <row r="110" spans="1:41" s="72" customFormat="1" x14ac:dyDescent="0.2">
      <c r="A110" s="301" t="s">
        <v>416</v>
      </c>
      <c r="B110" s="332">
        <f>IF(assumptions!F27="deferred",0,assumptions!F27)</f>
        <v>0</v>
      </c>
    </row>
    <row r="111" spans="1:41" s="72" customFormat="1" x14ac:dyDescent="0.2">
      <c r="A111" s="301" t="s">
        <v>417</v>
      </c>
      <c r="B111" s="1">
        <f>B107*(B108/12)</f>
        <v>0</v>
      </c>
    </row>
    <row r="112" spans="1:41" s="72" customFormat="1" x14ac:dyDescent="0.2">
      <c r="A112" s="301" t="s">
        <v>418</v>
      </c>
      <c r="B112" s="72">
        <f>B111*12</f>
        <v>0</v>
      </c>
    </row>
    <row r="113" spans="1:31" s="72" customFormat="1" x14ac:dyDescent="0.2"/>
    <row r="114" spans="1:31" s="72" customFormat="1" x14ac:dyDescent="0.2">
      <c r="A114" s="302" t="s">
        <v>419</v>
      </c>
      <c r="B114" s="294">
        <v>1</v>
      </c>
      <c r="C114" s="294">
        <f t="shared" ref="C114" si="344">B114+1</f>
        <v>2</v>
      </c>
      <c r="D114" s="294">
        <f t="shared" ref="D114" si="345">C114+1</f>
        <v>3</v>
      </c>
      <c r="E114" s="294">
        <f t="shared" ref="E114" si="346">D114+1</f>
        <v>4</v>
      </c>
      <c r="F114" s="294">
        <f t="shared" ref="F114" si="347">E114+1</f>
        <v>5</v>
      </c>
      <c r="G114" s="294">
        <f t="shared" ref="G114" si="348">F114+1</f>
        <v>6</v>
      </c>
      <c r="H114" s="294">
        <f t="shared" ref="H114" si="349">G114+1</f>
        <v>7</v>
      </c>
      <c r="I114" s="294">
        <f t="shared" ref="I114" si="350">H114+1</f>
        <v>8</v>
      </c>
      <c r="J114" s="294">
        <f t="shared" ref="J114" si="351">I114+1</f>
        <v>9</v>
      </c>
      <c r="K114" s="294">
        <f t="shared" ref="K114" si="352">J114+1</f>
        <v>10</v>
      </c>
      <c r="L114" s="294">
        <f t="shared" ref="L114" si="353">K114+1</f>
        <v>11</v>
      </c>
      <c r="M114" s="294">
        <f t="shared" ref="M114" si="354">L114+1</f>
        <v>12</v>
      </c>
      <c r="N114" s="294">
        <f t="shared" ref="N114" si="355">M114+1</f>
        <v>13</v>
      </c>
      <c r="O114" s="294">
        <f t="shared" ref="O114" si="356">N114+1</f>
        <v>14</v>
      </c>
      <c r="P114" s="294">
        <f t="shared" ref="P114" si="357">O114+1</f>
        <v>15</v>
      </c>
      <c r="Q114" s="294">
        <f t="shared" ref="Q114" si="358">P114+1</f>
        <v>16</v>
      </c>
      <c r="R114" s="294">
        <f t="shared" ref="R114" si="359">Q114+1</f>
        <v>17</v>
      </c>
      <c r="S114" s="294">
        <f t="shared" ref="S114" si="360">R114+1</f>
        <v>18</v>
      </c>
      <c r="T114" s="294">
        <f t="shared" ref="T114" si="361">S114+1</f>
        <v>19</v>
      </c>
      <c r="U114" s="294">
        <f t="shared" ref="U114" si="362">T114+1</f>
        <v>20</v>
      </c>
      <c r="V114" s="294">
        <f t="shared" ref="V114" si="363">U114+1</f>
        <v>21</v>
      </c>
      <c r="W114" s="294">
        <f t="shared" ref="W114" si="364">V114+1</f>
        <v>22</v>
      </c>
      <c r="X114" s="294">
        <f t="shared" ref="X114" si="365">W114+1</f>
        <v>23</v>
      </c>
      <c r="Y114" s="294">
        <f t="shared" ref="Y114" si="366">X114+1</f>
        <v>24</v>
      </c>
      <c r="Z114" s="294">
        <f t="shared" ref="Z114" si="367">Y114+1</f>
        <v>25</v>
      </c>
      <c r="AA114" s="294">
        <f t="shared" ref="AA114" si="368">Z114+1</f>
        <v>26</v>
      </c>
      <c r="AB114" s="294">
        <f t="shared" ref="AB114" si="369">AA114+1</f>
        <v>27</v>
      </c>
      <c r="AC114" s="294">
        <f t="shared" ref="AC114" si="370">AB114+1</f>
        <v>28</v>
      </c>
      <c r="AD114" s="294">
        <f t="shared" ref="AD114" si="371">AC114+1</f>
        <v>29</v>
      </c>
      <c r="AE114" s="294">
        <f t="shared" ref="AE114" si="372">AD114+1</f>
        <v>30</v>
      </c>
    </row>
    <row r="115" spans="1:31" s="72" customFormat="1" x14ac:dyDescent="0.2">
      <c r="A115" s="73" t="s">
        <v>420</v>
      </c>
      <c r="B115" s="1">
        <f>B107</f>
        <v>0</v>
      </c>
      <c r="C115" s="1">
        <f>B116</f>
        <v>0</v>
      </c>
      <c r="D115" s="1">
        <f t="shared" ref="D115" si="373">C116</f>
        <v>0</v>
      </c>
      <c r="E115" s="1">
        <f t="shared" ref="E115" si="374">D116</f>
        <v>0</v>
      </c>
      <c r="F115" s="1">
        <f t="shared" ref="F115" si="375">E116</f>
        <v>0</v>
      </c>
      <c r="G115" s="1">
        <f t="shared" ref="G115" si="376">F116</f>
        <v>0</v>
      </c>
      <c r="H115" s="1">
        <f t="shared" ref="H115" si="377">G116</f>
        <v>0</v>
      </c>
      <c r="I115" s="1">
        <f t="shared" ref="I115" si="378">H116</f>
        <v>0</v>
      </c>
      <c r="J115" s="1">
        <f t="shared" ref="J115" si="379">I116</f>
        <v>0</v>
      </c>
      <c r="K115" s="1">
        <f t="shared" ref="K115" si="380">J116</f>
        <v>0</v>
      </c>
      <c r="L115" s="1">
        <f t="shared" ref="L115" si="381">K116</f>
        <v>0</v>
      </c>
      <c r="M115" s="1">
        <f t="shared" ref="M115" si="382">L116</f>
        <v>0</v>
      </c>
      <c r="N115" s="1">
        <f t="shared" ref="N115" si="383">M116</f>
        <v>0</v>
      </c>
      <c r="O115" s="1">
        <f t="shared" ref="O115" si="384">N116</f>
        <v>0</v>
      </c>
      <c r="P115" s="1">
        <f t="shared" ref="P115" si="385">O116</f>
        <v>0</v>
      </c>
      <c r="Q115" s="1">
        <f t="shared" ref="Q115" si="386">P116</f>
        <v>0</v>
      </c>
      <c r="R115" s="1">
        <f t="shared" ref="R115" si="387">Q116</f>
        <v>0</v>
      </c>
      <c r="S115" s="1">
        <f t="shared" ref="S115" si="388">R116</f>
        <v>0</v>
      </c>
      <c r="T115" s="1">
        <f t="shared" ref="T115" si="389">S116</f>
        <v>0</v>
      </c>
      <c r="U115" s="1">
        <f t="shared" ref="U115" si="390">T116</f>
        <v>0</v>
      </c>
      <c r="V115" s="1">
        <f t="shared" ref="V115" si="391">U116</f>
        <v>0</v>
      </c>
      <c r="W115" s="1">
        <f t="shared" ref="W115" si="392">V116</f>
        <v>0</v>
      </c>
      <c r="X115" s="1">
        <f t="shared" ref="X115" si="393">W116</f>
        <v>0</v>
      </c>
      <c r="Y115" s="1">
        <f t="shared" ref="Y115" si="394">X116</f>
        <v>0</v>
      </c>
      <c r="Z115" s="1">
        <f t="shared" ref="Z115" si="395">Y116</f>
        <v>0</v>
      </c>
      <c r="AA115" s="1">
        <f t="shared" ref="AA115" si="396">Z116</f>
        <v>0</v>
      </c>
      <c r="AB115" s="1">
        <f t="shared" ref="AB115" si="397">AA116</f>
        <v>0</v>
      </c>
      <c r="AC115" s="1">
        <f t="shared" ref="AC115" si="398">AB116</f>
        <v>0</v>
      </c>
      <c r="AD115" s="1">
        <f t="shared" ref="AD115" si="399">AC116</f>
        <v>0</v>
      </c>
      <c r="AE115" s="1">
        <f t="shared" ref="AE115" si="400">AD116</f>
        <v>0</v>
      </c>
    </row>
    <row r="116" spans="1:31" s="72" customFormat="1" x14ac:dyDescent="0.2">
      <c r="A116" s="73" t="s">
        <v>421</v>
      </c>
      <c r="B116" s="1">
        <f>B115-B117</f>
        <v>0</v>
      </c>
      <c r="C116" s="1">
        <f>C115-C117</f>
        <v>0</v>
      </c>
      <c r="D116" s="1">
        <f t="shared" ref="D116:E116" si="401">D115-D117</f>
        <v>0</v>
      </c>
      <c r="E116" s="1">
        <f t="shared" si="401"/>
        <v>0</v>
      </c>
      <c r="F116" s="1">
        <f>F115-F117</f>
        <v>0</v>
      </c>
      <c r="G116" s="1">
        <f t="shared" ref="G116:AE116" si="402">G115-G117</f>
        <v>0</v>
      </c>
      <c r="H116" s="1">
        <f t="shared" si="402"/>
        <v>0</v>
      </c>
      <c r="I116" s="1">
        <f t="shared" si="402"/>
        <v>0</v>
      </c>
      <c r="J116" s="1">
        <f t="shared" si="402"/>
        <v>0</v>
      </c>
      <c r="K116" s="1">
        <f t="shared" si="402"/>
        <v>0</v>
      </c>
      <c r="L116" s="1">
        <f t="shared" si="402"/>
        <v>0</v>
      </c>
      <c r="M116" s="1">
        <f t="shared" si="402"/>
        <v>0</v>
      </c>
      <c r="N116" s="1">
        <f t="shared" si="402"/>
        <v>0</v>
      </c>
      <c r="O116" s="1">
        <f t="shared" si="402"/>
        <v>0</v>
      </c>
      <c r="P116" s="1">
        <f t="shared" si="402"/>
        <v>0</v>
      </c>
      <c r="Q116" s="1">
        <f t="shared" si="402"/>
        <v>0</v>
      </c>
      <c r="R116" s="1">
        <f t="shared" si="402"/>
        <v>0</v>
      </c>
      <c r="S116" s="1">
        <f t="shared" si="402"/>
        <v>0</v>
      </c>
      <c r="T116" s="1">
        <f t="shared" si="402"/>
        <v>0</v>
      </c>
      <c r="U116" s="1">
        <f t="shared" si="402"/>
        <v>0</v>
      </c>
      <c r="V116" s="1">
        <f t="shared" si="402"/>
        <v>0</v>
      </c>
      <c r="W116" s="1">
        <f t="shared" si="402"/>
        <v>0</v>
      </c>
      <c r="X116" s="1">
        <f t="shared" si="402"/>
        <v>0</v>
      </c>
      <c r="Y116" s="1">
        <f t="shared" si="402"/>
        <v>0</v>
      </c>
      <c r="Z116" s="1">
        <f t="shared" si="402"/>
        <v>0</v>
      </c>
      <c r="AA116" s="1">
        <f t="shared" si="402"/>
        <v>0</v>
      </c>
      <c r="AB116" s="1">
        <f t="shared" si="402"/>
        <v>0</v>
      </c>
      <c r="AC116" s="1">
        <f t="shared" si="402"/>
        <v>0</v>
      </c>
      <c r="AD116" s="1">
        <f t="shared" si="402"/>
        <v>0</v>
      </c>
      <c r="AE116" s="1">
        <f t="shared" si="402"/>
        <v>0</v>
      </c>
    </row>
    <row r="117" spans="1:31" s="72" customFormat="1" x14ac:dyDescent="0.2">
      <c r="A117" s="73" t="s">
        <v>413</v>
      </c>
      <c r="B117" s="1">
        <f>IF($B$110=B114,B115,0)</f>
        <v>0</v>
      </c>
      <c r="C117" s="1">
        <f>IF($B$127=C114,C115,0)</f>
        <v>0</v>
      </c>
      <c r="D117" s="1">
        <f t="shared" ref="D117" si="403">IF($B$127=D114,D115,0)</f>
        <v>0</v>
      </c>
      <c r="E117" s="1">
        <f>IF($B$127=E114,E115,0)</f>
        <v>0</v>
      </c>
      <c r="F117" s="1">
        <f>IF($B$127=F114,F115,0)</f>
        <v>0</v>
      </c>
      <c r="G117" s="1">
        <f t="shared" ref="G117:AD117" si="404">IF($B$127=G114,G115,0)</f>
        <v>0</v>
      </c>
      <c r="H117" s="1">
        <f t="shared" si="404"/>
        <v>0</v>
      </c>
      <c r="I117" s="1">
        <f t="shared" si="404"/>
        <v>0</v>
      </c>
      <c r="J117" s="1">
        <f t="shared" si="404"/>
        <v>0</v>
      </c>
      <c r="K117" s="1">
        <f t="shared" si="404"/>
        <v>0</v>
      </c>
      <c r="L117" s="1">
        <f t="shared" si="404"/>
        <v>0</v>
      </c>
      <c r="M117" s="1">
        <f t="shared" si="404"/>
        <v>0</v>
      </c>
      <c r="N117" s="1">
        <f t="shared" si="404"/>
        <v>0</v>
      </c>
      <c r="O117" s="1">
        <f t="shared" si="404"/>
        <v>0</v>
      </c>
      <c r="P117" s="1">
        <f t="shared" si="404"/>
        <v>0</v>
      </c>
      <c r="Q117" s="1">
        <f t="shared" si="404"/>
        <v>0</v>
      </c>
      <c r="R117" s="1">
        <f t="shared" si="404"/>
        <v>0</v>
      </c>
      <c r="S117" s="1">
        <f t="shared" si="404"/>
        <v>0</v>
      </c>
      <c r="T117" s="1">
        <f t="shared" si="404"/>
        <v>0</v>
      </c>
      <c r="U117" s="1">
        <f t="shared" si="404"/>
        <v>0</v>
      </c>
      <c r="V117" s="1">
        <f t="shared" si="404"/>
        <v>0</v>
      </c>
      <c r="W117" s="1">
        <f t="shared" si="404"/>
        <v>0</v>
      </c>
      <c r="X117" s="1">
        <f t="shared" si="404"/>
        <v>0</v>
      </c>
      <c r="Y117" s="1">
        <f t="shared" si="404"/>
        <v>0</v>
      </c>
      <c r="Z117" s="1">
        <f t="shared" si="404"/>
        <v>0</v>
      </c>
      <c r="AA117" s="1">
        <f t="shared" si="404"/>
        <v>0</v>
      </c>
      <c r="AB117" s="1">
        <f t="shared" si="404"/>
        <v>0</v>
      </c>
      <c r="AC117" s="1">
        <f t="shared" si="404"/>
        <v>0</v>
      </c>
      <c r="AD117" s="1">
        <f t="shared" si="404"/>
        <v>0</v>
      </c>
      <c r="AE117" s="1">
        <f>IF($B$127=AE114,AE115,0)</f>
        <v>0</v>
      </c>
    </row>
    <row r="118" spans="1:31" s="72" customFormat="1" x14ac:dyDescent="0.2">
      <c r="A118" s="73" t="s">
        <v>414</v>
      </c>
      <c r="B118" s="1">
        <f>+B115*$B$108</f>
        <v>0</v>
      </c>
      <c r="C118" s="1">
        <f>+C115*$B$125</f>
        <v>0</v>
      </c>
      <c r="D118" s="1">
        <f>+D115*$B$125</f>
        <v>0</v>
      </c>
      <c r="E118" s="1">
        <f t="shared" ref="E118" si="405">+E115*$B$125</f>
        <v>0</v>
      </c>
      <c r="F118" s="1">
        <f>+F115*$B$125</f>
        <v>0</v>
      </c>
      <c r="G118" s="1">
        <f t="shared" ref="G118:M118" si="406">+G115*$B$125</f>
        <v>0</v>
      </c>
      <c r="H118" s="1">
        <f t="shared" si="406"/>
        <v>0</v>
      </c>
      <c r="I118" s="1">
        <f t="shared" si="406"/>
        <v>0</v>
      </c>
      <c r="J118" s="1">
        <f t="shared" si="406"/>
        <v>0</v>
      </c>
      <c r="K118" s="1">
        <f t="shared" si="406"/>
        <v>0</v>
      </c>
      <c r="L118" s="1">
        <f t="shared" si="406"/>
        <v>0</v>
      </c>
      <c r="M118" s="1">
        <f t="shared" si="406"/>
        <v>0</v>
      </c>
      <c r="N118" s="1">
        <f>+N115*$B$125</f>
        <v>0</v>
      </c>
      <c r="O118" s="1">
        <f t="shared" ref="O118:Y118" si="407">+O115*$B$125</f>
        <v>0</v>
      </c>
      <c r="P118" s="1">
        <f t="shared" si="407"/>
        <v>0</v>
      </c>
      <c r="Q118" s="1">
        <f t="shared" si="407"/>
        <v>0</v>
      </c>
      <c r="R118" s="1">
        <f t="shared" si="407"/>
        <v>0</v>
      </c>
      <c r="S118" s="1">
        <f t="shared" si="407"/>
        <v>0</v>
      </c>
      <c r="T118" s="1">
        <f t="shared" si="407"/>
        <v>0</v>
      </c>
      <c r="U118" s="1">
        <f t="shared" si="407"/>
        <v>0</v>
      </c>
      <c r="V118" s="1">
        <f t="shared" si="407"/>
        <v>0</v>
      </c>
      <c r="W118" s="1">
        <f t="shared" si="407"/>
        <v>0</v>
      </c>
      <c r="X118" s="1">
        <f t="shared" si="407"/>
        <v>0</v>
      </c>
      <c r="Y118" s="1">
        <f t="shared" si="407"/>
        <v>0</v>
      </c>
      <c r="Z118" s="1">
        <f>+Z115*$B$125</f>
        <v>0</v>
      </c>
      <c r="AA118" s="1">
        <f t="shared" ref="AA118:AE118" si="408">+AA115*$B$125</f>
        <v>0</v>
      </c>
      <c r="AB118" s="1">
        <f t="shared" si="408"/>
        <v>0</v>
      </c>
      <c r="AC118" s="1">
        <f t="shared" si="408"/>
        <v>0</v>
      </c>
      <c r="AD118" s="1">
        <f t="shared" si="408"/>
        <v>0</v>
      </c>
      <c r="AE118" s="1">
        <f t="shared" si="408"/>
        <v>0</v>
      </c>
    </row>
    <row r="119" spans="1:31" s="72" customFormat="1" x14ac:dyDescent="0.2">
      <c r="A119" s="73" t="s">
        <v>422</v>
      </c>
      <c r="B119" s="1">
        <f>B118+B117</f>
        <v>0</v>
      </c>
      <c r="C119" s="1">
        <f>C118+C117</f>
        <v>0</v>
      </c>
      <c r="D119" s="1">
        <f t="shared" ref="D119:AE119" si="409">D118+D117</f>
        <v>0</v>
      </c>
      <c r="E119" s="1">
        <f t="shared" si="409"/>
        <v>0</v>
      </c>
      <c r="F119" s="1">
        <f t="shared" si="409"/>
        <v>0</v>
      </c>
      <c r="G119" s="1">
        <f t="shared" si="409"/>
        <v>0</v>
      </c>
      <c r="H119" s="1">
        <f t="shared" si="409"/>
        <v>0</v>
      </c>
      <c r="I119" s="1">
        <f t="shared" si="409"/>
        <v>0</v>
      </c>
      <c r="J119" s="1">
        <f t="shared" si="409"/>
        <v>0</v>
      </c>
      <c r="K119" s="1">
        <f t="shared" si="409"/>
        <v>0</v>
      </c>
      <c r="L119" s="1">
        <f t="shared" si="409"/>
        <v>0</v>
      </c>
      <c r="M119" s="1">
        <f t="shared" si="409"/>
        <v>0</v>
      </c>
      <c r="N119" s="1">
        <f t="shared" si="409"/>
        <v>0</v>
      </c>
      <c r="O119" s="1">
        <f t="shared" si="409"/>
        <v>0</v>
      </c>
      <c r="P119" s="1">
        <f t="shared" si="409"/>
        <v>0</v>
      </c>
      <c r="Q119" s="1">
        <f t="shared" si="409"/>
        <v>0</v>
      </c>
      <c r="R119" s="1">
        <f t="shared" si="409"/>
        <v>0</v>
      </c>
      <c r="S119" s="1">
        <f t="shared" si="409"/>
        <v>0</v>
      </c>
      <c r="T119" s="1">
        <f t="shared" si="409"/>
        <v>0</v>
      </c>
      <c r="U119" s="1">
        <f t="shared" si="409"/>
        <v>0</v>
      </c>
      <c r="V119" s="1">
        <f t="shared" si="409"/>
        <v>0</v>
      </c>
      <c r="W119" s="1">
        <f t="shared" si="409"/>
        <v>0</v>
      </c>
      <c r="X119" s="1">
        <f t="shared" si="409"/>
        <v>0</v>
      </c>
      <c r="Y119" s="1">
        <f t="shared" si="409"/>
        <v>0</v>
      </c>
      <c r="Z119" s="1">
        <f t="shared" si="409"/>
        <v>0</v>
      </c>
      <c r="AA119" s="1">
        <f t="shared" si="409"/>
        <v>0</v>
      </c>
      <c r="AB119" s="1">
        <f t="shared" si="409"/>
        <v>0</v>
      </c>
      <c r="AC119" s="1">
        <f t="shared" si="409"/>
        <v>0</v>
      </c>
      <c r="AD119" s="1">
        <f t="shared" si="409"/>
        <v>0</v>
      </c>
      <c r="AE119" s="1">
        <f t="shared" si="409"/>
        <v>0</v>
      </c>
    </row>
    <row r="120" spans="1:31" s="72" customFormat="1" x14ac:dyDescent="0.2">
      <c r="A120" s="73"/>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x14ac:dyDescent="0.2">
      <c r="A121" s="71"/>
      <c r="B121" s="71"/>
    </row>
    <row r="122" spans="1:31" s="72" customFormat="1" ht="15" x14ac:dyDescent="0.25">
      <c r="A122" s="298" t="str">
        <f>assumptions!A28</f>
        <v>HOME</v>
      </c>
    </row>
    <row r="123" spans="1:31" s="72" customFormat="1" x14ac:dyDescent="0.2"/>
    <row r="124" spans="1:31" s="72" customFormat="1" x14ac:dyDescent="0.2">
      <c r="A124" s="301" t="s">
        <v>413</v>
      </c>
      <c r="B124" s="300">
        <f>assumptions!B28</f>
        <v>0</v>
      </c>
    </row>
    <row r="125" spans="1:31" s="72" customFormat="1" x14ac:dyDescent="0.2">
      <c r="A125" s="301" t="s">
        <v>414</v>
      </c>
      <c r="B125" s="306">
        <f>assumptions!D28</f>
        <v>0</v>
      </c>
    </row>
    <row r="126" spans="1:31" s="72" customFormat="1" x14ac:dyDescent="0.2">
      <c r="A126" s="297" t="s">
        <v>415</v>
      </c>
      <c r="B126" s="300">
        <f>assumptions!E28</f>
        <v>0</v>
      </c>
    </row>
    <row r="127" spans="1:31" s="72" customFormat="1" x14ac:dyDescent="0.2">
      <c r="A127" s="301" t="s">
        <v>416</v>
      </c>
      <c r="B127" s="332">
        <f>IF(assumptions!F28="deferred",0,assumptions!F28)</f>
        <v>0</v>
      </c>
    </row>
    <row r="128" spans="1:31" s="72" customFormat="1" x14ac:dyDescent="0.2">
      <c r="A128" s="301" t="s">
        <v>417</v>
      </c>
      <c r="B128" s="1">
        <f>B124*(B125/12)</f>
        <v>0</v>
      </c>
    </row>
    <row r="129" spans="1:31" s="72" customFormat="1" x14ac:dyDescent="0.2">
      <c r="A129" s="301" t="s">
        <v>418</v>
      </c>
      <c r="B129" s="72">
        <f>B128*12</f>
        <v>0</v>
      </c>
    </row>
    <row r="130" spans="1:31" s="72" customFormat="1" x14ac:dyDescent="0.2"/>
    <row r="131" spans="1:31" s="72" customFormat="1" x14ac:dyDescent="0.2">
      <c r="A131" s="302" t="s">
        <v>419</v>
      </c>
      <c r="B131" s="294">
        <v>1</v>
      </c>
      <c r="C131" s="294">
        <f t="shared" ref="C131:R131" si="410">B131+1</f>
        <v>2</v>
      </c>
      <c r="D131" s="294">
        <f t="shared" si="410"/>
        <v>3</v>
      </c>
      <c r="E131" s="294">
        <f t="shared" si="410"/>
        <v>4</v>
      </c>
      <c r="F131" s="294">
        <f t="shared" si="410"/>
        <v>5</v>
      </c>
      <c r="G131" s="294">
        <f t="shared" si="410"/>
        <v>6</v>
      </c>
      <c r="H131" s="294">
        <f t="shared" si="410"/>
        <v>7</v>
      </c>
      <c r="I131" s="294">
        <f t="shared" si="410"/>
        <v>8</v>
      </c>
      <c r="J131" s="294">
        <f t="shared" si="410"/>
        <v>9</v>
      </c>
      <c r="K131" s="294">
        <f t="shared" si="410"/>
        <v>10</v>
      </c>
      <c r="L131" s="294">
        <f t="shared" si="410"/>
        <v>11</v>
      </c>
      <c r="M131" s="294">
        <f t="shared" si="410"/>
        <v>12</v>
      </c>
      <c r="N131" s="294">
        <f t="shared" si="410"/>
        <v>13</v>
      </c>
      <c r="O131" s="294">
        <f t="shared" si="410"/>
        <v>14</v>
      </c>
      <c r="P131" s="294">
        <f t="shared" si="410"/>
        <v>15</v>
      </c>
      <c r="Q131" s="294">
        <f t="shared" si="410"/>
        <v>16</v>
      </c>
      <c r="R131" s="294">
        <f t="shared" si="410"/>
        <v>17</v>
      </c>
      <c r="S131" s="294">
        <f t="shared" ref="S131:AE131" si="411">R131+1</f>
        <v>18</v>
      </c>
      <c r="T131" s="294">
        <f t="shared" si="411"/>
        <v>19</v>
      </c>
      <c r="U131" s="294">
        <f t="shared" si="411"/>
        <v>20</v>
      </c>
      <c r="V131" s="294">
        <f t="shared" si="411"/>
        <v>21</v>
      </c>
      <c r="W131" s="294">
        <f t="shared" si="411"/>
        <v>22</v>
      </c>
      <c r="X131" s="294">
        <f t="shared" si="411"/>
        <v>23</v>
      </c>
      <c r="Y131" s="294">
        <f t="shared" si="411"/>
        <v>24</v>
      </c>
      <c r="Z131" s="294">
        <f t="shared" si="411"/>
        <v>25</v>
      </c>
      <c r="AA131" s="294">
        <f t="shared" si="411"/>
        <v>26</v>
      </c>
      <c r="AB131" s="294">
        <f t="shared" si="411"/>
        <v>27</v>
      </c>
      <c r="AC131" s="294">
        <f t="shared" si="411"/>
        <v>28</v>
      </c>
      <c r="AD131" s="294">
        <f t="shared" si="411"/>
        <v>29</v>
      </c>
      <c r="AE131" s="294">
        <f t="shared" si="411"/>
        <v>30</v>
      </c>
    </row>
    <row r="132" spans="1:31" s="72" customFormat="1" x14ac:dyDescent="0.2">
      <c r="A132" s="73" t="s">
        <v>420</v>
      </c>
      <c r="B132" s="1">
        <f>B124</f>
        <v>0</v>
      </c>
      <c r="C132" s="1">
        <f>B133</f>
        <v>0</v>
      </c>
      <c r="D132" s="1">
        <f t="shared" ref="D132:AE132" si="412">C133</f>
        <v>0</v>
      </c>
      <c r="E132" s="1">
        <f t="shared" si="412"/>
        <v>0</v>
      </c>
      <c r="F132" s="1">
        <f t="shared" si="412"/>
        <v>0</v>
      </c>
      <c r="G132" s="1">
        <f t="shared" si="412"/>
        <v>0</v>
      </c>
      <c r="H132" s="1">
        <f t="shared" si="412"/>
        <v>0</v>
      </c>
      <c r="I132" s="1">
        <f t="shared" si="412"/>
        <v>0</v>
      </c>
      <c r="J132" s="1">
        <f t="shared" si="412"/>
        <v>0</v>
      </c>
      <c r="K132" s="1">
        <f t="shared" si="412"/>
        <v>0</v>
      </c>
      <c r="L132" s="1">
        <f t="shared" si="412"/>
        <v>0</v>
      </c>
      <c r="M132" s="1">
        <f t="shared" si="412"/>
        <v>0</v>
      </c>
      <c r="N132" s="1">
        <f t="shared" si="412"/>
        <v>0</v>
      </c>
      <c r="O132" s="1">
        <f t="shared" si="412"/>
        <v>0</v>
      </c>
      <c r="P132" s="1">
        <f t="shared" si="412"/>
        <v>0</v>
      </c>
      <c r="Q132" s="1">
        <f t="shared" si="412"/>
        <v>0</v>
      </c>
      <c r="R132" s="1">
        <f t="shared" si="412"/>
        <v>0</v>
      </c>
      <c r="S132" s="1">
        <f t="shared" si="412"/>
        <v>0</v>
      </c>
      <c r="T132" s="1">
        <f t="shared" si="412"/>
        <v>0</v>
      </c>
      <c r="U132" s="1">
        <f t="shared" si="412"/>
        <v>0</v>
      </c>
      <c r="V132" s="1">
        <f t="shared" si="412"/>
        <v>0</v>
      </c>
      <c r="W132" s="1">
        <f t="shared" si="412"/>
        <v>0</v>
      </c>
      <c r="X132" s="1">
        <f t="shared" si="412"/>
        <v>0</v>
      </c>
      <c r="Y132" s="1">
        <f t="shared" si="412"/>
        <v>0</v>
      </c>
      <c r="Z132" s="1">
        <f t="shared" si="412"/>
        <v>0</v>
      </c>
      <c r="AA132" s="1">
        <f t="shared" si="412"/>
        <v>0</v>
      </c>
      <c r="AB132" s="1">
        <f t="shared" si="412"/>
        <v>0</v>
      </c>
      <c r="AC132" s="1">
        <f t="shared" si="412"/>
        <v>0</v>
      </c>
      <c r="AD132" s="1">
        <f t="shared" si="412"/>
        <v>0</v>
      </c>
      <c r="AE132" s="1">
        <f t="shared" si="412"/>
        <v>0</v>
      </c>
    </row>
    <row r="133" spans="1:31" s="72" customFormat="1" x14ac:dyDescent="0.2">
      <c r="A133" s="73" t="s">
        <v>421</v>
      </c>
      <c r="B133" s="1">
        <f>B132-B134</f>
        <v>0</v>
      </c>
      <c r="C133" s="1">
        <f>C132-C134</f>
        <v>0</v>
      </c>
      <c r="D133" s="1">
        <f t="shared" ref="D133:Q133" si="413">D132-D134</f>
        <v>0</v>
      </c>
      <c r="E133" s="1">
        <f t="shared" si="413"/>
        <v>0</v>
      </c>
      <c r="F133" s="1">
        <f>F132-F134</f>
        <v>0</v>
      </c>
      <c r="G133" s="1">
        <f t="shared" si="413"/>
        <v>0</v>
      </c>
      <c r="H133" s="1">
        <f t="shared" si="413"/>
        <v>0</v>
      </c>
      <c r="I133" s="1">
        <f t="shared" si="413"/>
        <v>0</v>
      </c>
      <c r="J133" s="1">
        <f t="shared" si="413"/>
        <v>0</v>
      </c>
      <c r="K133" s="1">
        <f t="shared" si="413"/>
        <v>0</v>
      </c>
      <c r="L133" s="1">
        <f t="shared" si="413"/>
        <v>0</v>
      </c>
      <c r="M133" s="1">
        <f t="shared" si="413"/>
        <v>0</v>
      </c>
      <c r="N133" s="1">
        <f t="shared" si="413"/>
        <v>0</v>
      </c>
      <c r="O133" s="1">
        <f t="shared" si="413"/>
        <v>0</v>
      </c>
      <c r="P133" s="1">
        <f t="shared" si="413"/>
        <v>0</v>
      </c>
      <c r="Q133" s="1">
        <f t="shared" si="413"/>
        <v>0</v>
      </c>
      <c r="R133" s="1">
        <f t="shared" ref="R133:AE133" si="414">R132-R134</f>
        <v>0</v>
      </c>
      <c r="S133" s="1">
        <f t="shared" si="414"/>
        <v>0</v>
      </c>
      <c r="T133" s="1">
        <f t="shared" si="414"/>
        <v>0</v>
      </c>
      <c r="U133" s="1">
        <f t="shared" si="414"/>
        <v>0</v>
      </c>
      <c r="V133" s="1">
        <f t="shared" si="414"/>
        <v>0</v>
      </c>
      <c r="W133" s="1">
        <f t="shared" si="414"/>
        <v>0</v>
      </c>
      <c r="X133" s="1">
        <f t="shared" si="414"/>
        <v>0</v>
      </c>
      <c r="Y133" s="1">
        <f t="shared" si="414"/>
        <v>0</v>
      </c>
      <c r="Z133" s="1">
        <f t="shared" si="414"/>
        <v>0</v>
      </c>
      <c r="AA133" s="1">
        <f t="shared" si="414"/>
        <v>0</v>
      </c>
      <c r="AB133" s="1">
        <f t="shared" si="414"/>
        <v>0</v>
      </c>
      <c r="AC133" s="1">
        <f t="shared" si="414"/>
        <v>0</v>
      </c>
      <c r="AD133" s="1">
        <f t="shared" si="414"/>
        <v>0</v>
      </c>
      <c r="AE133" s="1">
        <f t="shared" si="414"/>
        <v>0</v>
      </c>
    </row>
    <row r="134" spans="1:31" s="72" customFormat="1" x14ac:dyDescent="0.2">
      <c r="A134" s="73" t="s">
        <v>413</v>
      </c>
      <c r="B134" s="1">
        <f>IF($B$127=B131,B132,0)</f>
        <v>0</v>
      </c>
      <c r="C134" s="1">
        <f>IF($B$127=C131,C132,0)</f>
        <v>0</v>
      </c>
      <c r="D134" s="1">
        <f t="shared" ref="D134:AD134" si="415">IF($B$127=D131,D132,0)</f>
        <v>0</v>
      </c>
      <c r="E134" s="1">
        <f>IF($B$127=E131,E132,0)</f>
        <v>0</v>
      </c>
      <c r="F134" s="1">
        <f>IF($B$127=F131,F132,0)</f>
        <v>0</v>
      </c>
      <c r="G134" s="1">
        <f t="shared" si="415"/>
        <v>0</v>
      </c>
      <c r="H134" s="1">
        <f t="shared" si="415"/>
        <v>0</v>
      </c>
      <c r="I134" s="1">
        <f t="shared" si="415"/>
        <v>0</v>
      </c>
      <c r="J134" s="1">
        <f t="shared" si="415"/>
        <v>0</v>
      </c>
      <c r="K134" s="1">
        <f t="shared" si="415"/>
        <v>0</v>
      </c>
      <c r="L134" s="1">
        <f t="shared" si="415"/>
        <v>0</v>
      </c>
      <c r="M134" s="1">
        <f t="shared" si="415"/>
        <v>0</v>
      </c>
      <c r="N134" s="1">
        <f t="shared" si="415"/>
        <v>0</v>
      </c>
      <c r="O134" s="1">
        <f t="shared" si="415"/>
        <v>0</v>
      </c>
      <c r="P134" s="1">
        <f t="shared" si="415"/>
        <v>0</v>
      </c>
      <c r="Q134" s="1">
        <f t="shared" si="415"/>
        <v>0</v>
      </c>
      <c r="R134" s="1">
        <f t="shared" si="415"/>
        <v>0</v>
      </c>
      <c r="S134" s="1">
        <f t="shared" si="415"/>
        <v>0</v>
      </c>
      <c r="T134" s="1">
        <f t="shared" si="415"/>
        <v>0</v>
      </c>
      <c r="U134" s="1">
        <f t="shared" si="415"/>
        <v>0</v>
      </c>
      <c r="V134" s="1">
        <f t="shared" si="415"/>
        <v>0</v>
      </c>
      <c r="W134" s="1">
        <f t="shared" si="415"/>
        <v>0</v>
      </c>
      <c r="X134" s="1">
        <f t="shared" si="415"/>
        <v>0</v>
      </c>
      <c r="Y134" s="1">
        <f t="shared" si="415"/>
        <v>0</v>
      </c>
      <c r="Z134" s="1">
        <f t="shared" si="415"/>
        <v>0</v>
      </c>
      <c r="AA134" s="1">
        <f t="shared" si="415"/>
        <v>0</v>
      </c>
      <c r="AB134" s="1">
        <f t="shared" si="415"/>
        <v>0</v>
      </c>
      <c r="AC134" s="1">
        <f t="shared" si="415"/>
        <v>0</v>
      </c>
      <c r="AD134" s="1">
        <f t="shared" si="415"/>
        <v>0</v>
      </c>
      <c r="AE134" s="1">
        <f>IF($B$127=AE131,AE132,0)</f>
        <v>0</v>
      </c>
    </row>
    <row r="135" spans="1:31" s="72" customFormat="1" x14ac:dyDescent="0.2">
      <c r="A135" s="73" t="s">
        <v>414</v>
      </c>
      <c r="B135" s="1">
        <f>+B132*$B$125</f>
        <v>0</v>
      </c>
      <c r="C135" s="1">
        <f>+C132*$B$125</f>
        <v>0</v>
      </c>
      <c r="D135" s="1">
        <f>+D132*$B$125</f>
        <v>0</v>
      </c>
      <c r="E135" s="1">
        <f t="shared" ref="E135:R135" si="416">+E132*$B$125</f>
        <v>0</v>
      </c>
      <c r="F135" s="1">
        <f>+F132*$B$125</f>
        <v>0</v>
      </c>
      <c r="G135" s="1">
        <f t="shared" si="416"/>
        <v>0</v>
      </c>
      <c r="H135" s="1">
        <f t="shared" si="416"/>
        <v>0</v>
      </c>
      <c r="I135" s="1">
        <f t="shared" si="416"/>
        <v>0</v>
      </c>
      <c r="J135" s="1">
        <f t="shared" si="416"/>
        <v>0</v>
      </c>
      <c r="K135" s="1">
        <f t="shared" si="416"/>
        <v>0</v>
      </c>
      <c r="L135" s="1">
        <f t="shared" si="416"/>
        <v>0</v>
      </c>
      <c r="M135" s="1">
        <f t="shared" si="416"/>
        <v>0</v>
      </c>
      <c r="N135" s="1">
        <f>+N132*$B$125</f>
        <v>0</v>
      </c>
      <c r="O135" s="1">
        <f t="shared" si="416"/>
        <v>0</v>
      </c>
      <c r="P135" s="1">
        <f t="shared" si="416"/>
        <v>0</v>
      </c>
      <c r="Q135" s="1">
        <f t="shared" si="416"/>
        <v>0</v>
      </c>
      <c r="R135" s="1">
        <f t="shared" si="416"/>
        <v>0</v>
      </c>
      <c r="S135" s="1">
        <f t="shared" ref="S135:AE135" si="417">+S132*$B$125</f>
        <v>0</v>
      </c>
      <c r="T135" s="1">
        <f t="shared" si="417"/>
        <v>0</v>
      </c>
      <c r="U135" s="1">
        <f t="shared" si="417"/>
        <v>0</v>
      </c>
      <c r="V135" s="1">
        <f t="shared" si="417"/>
        <v>0</v>
      </c>
      <c r="W135" s="1">
        <f t="shared" si="417"/>
        <v>0</v>
      </c>
      <c r="X135" s="1">
        <f t="shared" si="417"/>
        <v>0</v>
      </c>
      <c r="Y135" s="1">
        <f t="shared" si="417"/>
        <v>0</v>
      </c>
      <c r="Z135" s="1">
        <f>+Z132*$B$125</f>
        <v>0</v>
      </c>
      <c r="AA135" s="1">
        <f t="shared" si="417"/>
        <v>0</v>
      </c>
      <c r="AB135" s="1">
        <f t="shared" si="417"/>
        <v>0</v>
      </c>
      <c r="AC135" s="1">
        <f t="shared" si="417"/>
        <v>0</v>
      </c>
      <c r="AD135" s="1">
        <f t="shared" si="417"/>
        <v>0</v>
      </c>
      <c r="AE135" s="1">
        <f t="shared" si="417"/>
        <v>0</v>
      </c>
    </row>
    <row r="136" spans="1:31" s="72" customFormat="1" x14ac:dyDescent="0.2">
      <c r="A136" s="73" t="s">
        <v>422</v>
      </c>
      <c r="B136" s="1">
        <f>B135+B134</f>
        <v>0</v>
      </c>
      <c r="C136" s="1">
        <f>C135+C134</f>
        <v>0</v>
      </c>
      <c r="D136" s="1">
        <f t="shared" ref="D136:Q136" si="418">D135+D134</f>
        <v>0</v>
      </c>
      <c r="E136" s="1">
        <f t="shared" si="418"/>
        <v>0</v>
      </c>
      <c r="F136" s="1">
        <f t="shared" si="418"/>
        <v>0</v>
      </c>
      <c r="G136" s="1">
        <f t="shared" si="418"/>
        <v>0</v>
      </c>
      <c r="H136" s="1">
        <f t="shared" si="418"/>
        <v>0</v>
      </c>
      <c r="I136" s="1">
        <f t="shared" si="418"/>
        <v>0</v>
      </c>
      <c r="J136" s="1">
        <f t="shared" si="418"/>
        <v>0</v>
      </c>
      <c r="K136" s="1">
        <f t="shared" si="418"/>
        <v>0</v>
      </c>
      <c r="L136" s="1">
        <f t="shared" si="418"/>
        <v>0</v>
      </c>
      <c r="M136" s="1">
        <f t="shared" si="418"/>
        <v>0</v>
      </c>
      <c r="N136" s="1">
        <f t="shared" si="418"/>
        <v>0</v>
      </c>
      <c r="O136" s="1">
        <f t="shared" si="418"/>
        <v>0</v>
      </c>
      <c r="P136" s="1">
        <f t="shared" si="418"/>
        <v>0</v>
      </c>
      <c r="Q136" s="1">
        <f t="shared" si="418"/>
        <v>0</v>
      </c>
      <c r="R136" s="1">
        <f t="shared" ref="R136:AE136" si="419">R135+R134</f>
        <v>0</v>
      </c>
      <c r="S136" s="1">
        <f t="shared" si="419"/>
        <v>0</v>
      </c>
      <c r="T136" s="1">
        <f t="shared" si="419"/>
        <v>0</v>
      </c>
      <c r="U136" s="1">
        <f t="shared" si="419"/>
        <v>0</v>
      </c>
      <c r="V136" s="1">
        <f t="shared" si="419"/>
        <v>0</v>
      </c>
      <c r="W136" s="1">
        <f t="shared" si="419"/>
        <v>0</v>
      </c>
      <c r="X136" s="1">
        <f t="shared" si="419"/>
        <v>0</v>
      </c>
      <c r="Y136" s="1">
        <f t="shared" si="419"/>
        <v>0</v>
      </c>
      <c r="Z136" s="1">
        <f t="shared" si="419"/>
        <v>0</v>
      </c>
      <c r="AA136" s="1">
        <f t="shared" si="419"/>
        <v>0</v>
      </c>
      <c r="AB136" s="1">
        <f t="shared" si="419"/>
        <v>0</v>
      </c>
      <c r="AC136" s="1">
        <f t="shared" si="419"/>
        <v>0</v>
      </c>
      <c r="AD136" s="1">
        <f t="shared" si="419"/>
        <v>0</v>
      </c>
      <c r="AE136" s="1">
        <f t="shared" si="419"/>
        <v>0</v>
      </c>
    </row>
    <row r="137" spans="1:31" s="72" customFormat="1" x14ac:dyDescent="0.2">
      <c r="A137" s="73"/>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spans="1:31" s="72" customFormat="1" x14ac:dyDescent="0.2">
      <c r="A138" s="73"/>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spans="1:31" s="72" customFormat="1" ht="15" x14ac:dyDescent="0.25">
      <c r="A139" s="298" t="str">
        <f>assumptions!A29</f>
        <v>NHTF</v>
      </c>
    </row>
    <row r="140" spans="1:31" s="72" customFormat="1" x14ac:dyDescent="0.2"/>
    <row r="141" spans="1:31" s="72" customFormat="1" x14ac:dyDescent="0.2">
      <c r="A141" s="301" t="s">
        <v>413</v>
      </c>
      <c r="B141" s="300">
        <f>assumptions!B29</f>
        <v>0</v>
      </c>
    </row>
    <row r="142" spans="1:31" s="72" customFormat="1" x14ac:dyDescent="0.2">
      <c r="A142" s="301" t="s">
        <v>414</v>
      </c>
      <c r="B142" s="306">
        <f>assumptions!D29</f>
        <v>0</v>
      </c>
    </row>
    <row r="143" spans="1:31" s="72" customFormat="1" x14ac:dyDescent="0.2">
      <c r="A143" s="297" t="s">
        <v>415</v>
      </c>
      <c r="B143" s="300">
        <f>assumptions!E29</f>
        <v>0</v>
      </c>
    </row>
    <row r="144" spans="1:31" s="72" customFormat="1" x14ac:dyDescent="0.2">
      <c r="A144" s="301" t="s">
        <v>416</v>
      </c>
      <c r="B144" s="332">
        <f>IF(assumptions!F29="deferred",0,assumptions!F29)</f>
        <v>0</v>
      </c>
    </row>
    <row r="145" spans="1:31" s="72" customFormat="1" x14ac:dyDescent="0.2">
      <c r="A145" s="301" t="s">
        <v>417</v>
      </c>
      <c r="B145" s="1">
        <f>B141*(B142/12)</f>
        <v>0</v>
      </c>
    </row>
    <row r="146" spans="1:31" s="72" customFormat="1" x14ac:dyDescent="0.2">
      <c r="A146" s="301" t="s">
        <v>418</v>
      </c>
      <c r="B146" s="72">
        <f>B145*12</f>
        <v>0</v>
      </c>
    </row>
    <row r="147" spans="1:31" s="72" customFormat="1" x14ac:dyDescent="0.2"/>
    <row r="148" spans="1:31" s="72" customFormat="1" x14ac:dyDescent="0.2">
      <c r="A148" s="302" t="s">
        <v>419</v>
      </c>
      <c r="B148" s="303">
        <v>1</v>
      </c>
      <c r="C148" s="303">
        <f t="shared" ref="C148:R148" si="420">B148+1</f>
        <v>2</v>
      </c>
      <c r="D148" s="303">
        <f t="shared" si="420"/>
        <v>3</v>
      </c>
      <c r="E148" s="303">
        <f t="shared" si="420"/>
        <v>4</v>
      </c>
      <c r="F148" s="303">
        <f t="shared" si="420"/>
        <v>5</v>
      </c>
      <c r="G148" s="303">
        <f t="shared" si="420"/>
        <v>6</v>
      </c>
      <c r="H148" s="303">
        <f t="shared" si="420"/>
        <v>7</v>
      </c>
      <c r="I148" s="303">
        <f t="shared" si="420"/>
        <v>8</v>
      </c>
      <c r="J148" s="303">
        <f t="shared" si="420"/>
        <v>9</v>
      </c>
      <c r="K148" s="303">
        <f t="shared" si="420"/>
        <v>10</v>
      </c>
      <c r="L148" s="303">
        <f t="shared" si="420"/>
        <v>11</v>
      </c>
      <c r="M148" s="303">
        <f t="shared" si="420"/>
        <v>12</v>
      </c>
      <c r="N148" s="303">
        <f t="shared" si="420"/>
        <v>13</v>
      </c>
      <c r="O148" s="303">
        <f t="shared" si="420"/>
        <v>14</v>
      </c>
      <c r="P148" s="303">
        <f t="shared" si="420"/>
        <v>15</v>
      </c>
      <c r="Q148" s="303">
        <f t="shared" si="420"/>
        <v>16</v>
      </c>
      <c r="R148" s="303">
        <f t="shared" si="420"/>
        <v>17</v>
      </c>
      <c r="S148" s="303">
        <f t="shared" ref="S148:AE148" si="421">R148+1</f>
        <v>18</v>
      </c>
      <c r="T148" s="303">
        <f t="shared" si="421"/>
        <v>19</v>
      </c>
      <c r="U148" s="303">
        <f t="shared" si="421"/>
        <v>20</v>
      </c>
      <c r="V148" s="303">
        <f t="shared" si="421"/>
        <v>21</v>
      </c>
      <c r="W148" s="303">
        <f t="shared" si="421"/>
        <v>22</v>
      </c>
      <c r="X148" s="303">
        <f t="shared" si="421"/>
        <v>23</v>
      </c>
      <c r="Y148" s="303">
        <f t="shared" si="421"/>
        <v>24</v>
      </c>
      <c r="Z148" s="303">
        <f t="shared" si="421"/>
        <v>25</v>
      </c>
      <c r="AA148" s="303">
        <f t="shared" si="421"/>
        <v>26</v>
      </c>
      <c r="AB148" s="303">
        <f t="shared" si="421"/>
        <v>27</v>
      </c>
      <c r="AC148" s="303">
        <f t="shared" si="421"/>
        <v>28</v>
      </c>
      <c r="AD148" s="303">
        <f t="shared" si="421"/>
        <v>29</v>
      </c>
      <c r="AE148" s="303">
        <f t="shared" si="421"/>
        <v>30</v>
      </c>
    </row>
    <row r="149" spans="1:31" s="72" customFormat="1" x14ac:dyDescent="0.2">
      <c r="A149" s="73" t="s">
        <v>420</v>
      </c>
      <c r="B149" s="300">
        <f>B141</f>
        <v>0</v>
      </c>
      <c r="C149" s="300">
        <f t="shared" ref="C149:AE149" si="422">B150</f>
        <v>0</v>
      </c>
      <c r="D149" s="300">
        <f t="shared" si="422"/>
        <v>0</v>
      </c>
      <c r="E149" s="300">
        <f t="shared" si="422"/>
        <v>0</v>
      </c>
      <c r="F149" s="300">
        <f t="shared" si="422"/>
        <v>0</v>
      </c>
      <c r="G149" s="300">
        <f t="shared" si="422"/>
        <v>0</v>
      </c>
      <c r="H149" s="300">
        <f t="shared" si="422"/>
        <v>0</v>
      </c>
      <c r="I149" s="300">
        <f t="shared" si="422"/>
        <v>0</v>
      </c>
      <c r="J149" s="300">
        <f t="shared" si="422"/>
        <v>0</v>
      </c>
      <c r="K149" s="300">
        <f t="shared" si="422"/>
        <v>0</v>
      </c>
      <c r="L149" s="300">
        <f t="shared" si="422"/>
        <v>0</v>
      </c>
      <c r="M149" s="300">
        <f t="shared" si="422"/>
        <v>0</v>
      </c>
      <c r="N149" s="300">
        <f t="shared" si="422"/>
        <v>0</v>
      </c>
      <c r="O149" s="300">
        <f t="shared" si="422"/>
        <v>0</v>
      </c>
      <c r="P149" s="300">
        <f t="shared" si="422"/>
        <v>0</v>
      </c>
      <c r="Q149" s="300">
        <f t="shared" si="422"/>
        <v>0</v>
      </c>
      <c r="R149" s="300">
        <f t="shared" si="422"/>
        <v>0</v>
      </c>
      <c r="S149" s="300">
        <f t="shared" si="422"/>
        <v>0</v>
      </c>
      <c r="T149" s="300">
        <f t="shared" si="422"/>
        <v>0</v>
      </c>
      <c r="U149" s="300">
        <f t="shared" si="422"/>
        <v>0</v>
      </c>
      <c r="V149" s="300">
        <f t="shared" si="422"/>
        <v>0</v>
      </c>
      <c r="W149" s="300">
        <f t="shared" si="422"/>
        <v>0</v>
      </c>
      <c r="X149" s="300">
        <f t="shared" si="422"/>
        <v>0</v>
      </c>
      <c r="Y149" s="300">
        <f t="shared" si="422"/>
        <v>0</v>
      </c>
      <c r="Z149" s="300">
        <f t="shared" si="422"/>
        <v>0</v>
      </c>
      <c r="AA149" s="300">
        <f t="shared" si="422"/>
        <v>0</v>
      </c>
      <c r="AB149" s="300">
        <f t="shared" si="422"/>
        <v>0</v>
      </c>
      <c r="AC149" s="300">
        <f t="shared" si="422"/>
        <v>0</v>
      </c>
      <c r="AD149" s="300">
        <f t="shared" si="422"/>
        <v>0</v>
      </c>
      <c r="AE149" s="300">
        <f t="shared" si="422"/>
        <v>0</v>
      </c>
    </row>
    <row r="150" spans="1:31" s="72" customFormat="1" x14ac:dyDescent="0.2">
      <c r="A150" s="73" t="s">
        <v>421</v>
      </c>
      <c r="B150" s="300">
        <f>B149-B151</f>
        <v>0</v>
      </c>
      <c r="C150" s="300">
        <f>C149-C151</f>
        <v>0</v>
      </c>
      <c r="D150" s="300">
        <f t="shared" ref="D150:AE150" si="423">D149-D151</f>
        <v>0</v>
      </c>
      <c r="E150" s="300">
        <f t="shared" si="423"/>
        <v>0</v>
      </c>
      <c r="F150" s="300">
        <f t="shared" si="423"/>
        <v>0</v>
      </c>
      <c r="G150" s="300">
        <f t="shared" si="423"/>
        <v>0</v>
      </c>
      <c r="H150" s="300">
        <f t="shared" si="423"/>
        <v>0</v>
      </c>
      <c r="I150" s="300">
        <f t="shared" si="423"/>
        <v>0</v>
      </c>
      <c r="J150" s="300">
        <f t="shared" si="423"/>
        <v>0</v>
      </c>
      <c r="K150" s="300">
        <f t="shared" si="423"/>
        <v>0</v>
      </c>
      <c r="L150" s="300">
        <f t="shared" si="423"/>
        <v>0</v>
      </c>
      <c r="M150" s="300">
        <f t="shared" si="423"/>
        <v>0</v>
      </c>
      <c r="N150" s="300">
        <f t="shared" si="423"/>
        <v>0</v>
      </c>
      <c r="O150" s="300">
        <f t="shared" si="423"/>
        <v>0</v>
      </c>
      <c r="P150" s="300">
        <f t="shared" si="423"/>
        <v>0</v>
      </c>
      <c r="Q150" s="300">
        <f t="shared" si="423"/>
        <v>0</v>
      </c>
      <c r="R150" s="300">
        <f t="shared" si="423"/>
        <v>0</v>
      </c>
      <c r="S150" s="300">
        <f t="shared" si="423"/>
        <v>0</v>
      </c>
      <c r="T150" s="300">
        <f t="shared" si="423"/>
        <v>0</v>
      </c>
      <c r="U150" s="300">
        <f t="shared" si="423"/>
        <v>0</v>
      </c>
      <c r="V150" s="300">
        <f t="shared" si="423"/>
        <v>0</v>
      </c>
      <c r="W150" s="300">
        <f t="shared" si="423"/>
        <v>0</v>
      </c>
      <c r="X150" s="300">
        <f t="shared" si="423"/>
        <v>0</v>
      </c>
      <c r="Y150" s="300">
        <f t="shared" si="423"/>
        <v>0</v>
      </c>
      <c r="Z150" s="300">
        <f t="shared" si="423"/>
        <v>0</v>
      </c>
      <c r="AA150" s="300">
        <f t="shared" si="423"/>
        <v>0</v>
      </c>
      <c r="AB150" s="300">
        <f t="shared" si="423"/>
        <v>0</v>
      </c>
      <c r="AC150" s="300">
        <f t="shared" si="423"/>
        <v>0</v>
      </c>
      <c r="AD150" s="300">
        <f t="shared" si="423"/>
        <v>0</v>
      </c>
      <c r="AE150" s="300">
        <f t="shared" si="423"/>
        <v>0</v>
      </c>
    </row>
    <row r="151" spans="1:31" s="72" customFormat="1" x14ac:dyDescent="0.2">
      <c r="A151" s="73" t="s">
        <v>413</v>
      </c>
      <c r="B151" s="1">
        <f>IF($B$144=B148,B149,0)</f>
        <v>0</v>
      </c>
      <c r="C151" s="1">
        <f>IF($B$144=C148,C149,0)</f>
        <v>0</v>
      </c>
      <c r="D151" s="1">
        <f>IF($B$144=D148,D149,0)</f>
        <v>0</v>
      </c>
      <c r="E151" s="1">
        <f>IF($B$144=E148,E149,0)</f>
        <v>0</v>
      </c>
      <c r="F151" s="1">
        <f>IF($B$144=F148,F149,0)</f>
        <v>0</v>
      </c>
      <c r="G151" s="1">
        <f t="shared" ref="G151:AE151" si="424">IF($B$144=G148,G149,0)</f>
        <v>0</v>
      </c>
      <c r="H151" s="1">
        <f t="shared" si="424"/>
        <v>0</v>
      </c>
      <c r="I151" s="1">
        <f t="shared" si="424"/>
        <v>0</v>
      </c>
      <c r="J151" s="1">
        <f t="shared" si="424"/>
        <v>0</v>
      </c>
      <c r="K151" s="1">
        <f t="shared" si="424"/>
        <v>0</v>
      </c>
      <c r="L151" s="1">
        <f t="shared" si="424"/>
        <v>0</v>
      </c>
      <c r="M151" s="1">
        <f t="shared" si="424"/>
        <v>0</v>
      </c>
      <c r="N151" s="1">
        <f t="shared" si="424"/>
        <v>0</v>
      </c>
      <c r="O151" s="1">
        <f t="shared" si="424"/>
        <v>0</v>
      </c>
      <c r="P151" s="1">
        <f t="shared" si="424"/>
        <v>0</v>
      </c>
      <c r="Q151" s="1">
        <f t="shared" si="424"/>
        <v>0</v>
      </c>
      <c r="R151" s="1">
        <f t="shared" si="424"/>
        <v>0</v>
      </c>
      <c r="S151" s="1">
        <f t="shared" si="424"/>
        <v>0</v>
      </c>
      <c r="T151" s="1">
        <f t="shared" si="424"/>
        <v>0</v>
      </c>
      <c r="U151" s="1">
        <f t="shared" si="424"/>
        <v>0</v>
      </c>
      <c r="V151" s="1">
        <f t="shared" si="424"/>
        <v>0</v>
      </c>
      <c r="W151" s="1">
        <f t="shared" si="424"/>
        <v>0</v>
      </c>
      <c r="X151" s="1">
        <f t="shared" si="424"/>
        <v>0</v>
      </c>
      <c r="Y151" s="1">
        <f t="shared" si="424"/>
        <v>0</v>
      </c>
      <c r="Z151" s="1">
        <f t="shared" si="424"/>
        <v>0</v>
      </c>
      <c r="AA151" s="1">
        <f t="shared" si="424"/>
        <v>0</v>
      </c>
      <c r="AB151" s="1">
        <f t="shared" si="424"/>
        <v>0</v>
      </c>
      <c r="AC151" s="1">
        <f t="shared" si="424"/>
        <v>0</v>
      </c>
      <c r="AD151" s="1">
        <f t="shared" si="424"/>
        <v>0</v>
      </c>
      <c r="AE151" s="1">
        <f t="shared" si="424"/>
        <v>0</v>
      </c>
    </row>
    <row r="152" spans="1:31" s="72" customFormat="1" x14ac:dyDescent="0.2">
      <c r="A152" s="73" t="s">
        <v>414</v>
      </c>
      <c r="B152" s="300">
        <f>B149*$B$142</f>
        <v>0</v>
      </c>
      <c r="C152" s="300">
        <f>C149*$B$142</f>
        <v>0</v>
      </c>
      <c r="D152" s="300">
        <f>D149*$B$142</f>
        <v>0</v>
      </c>
      <c r="E152" s="300">
        <f t="shared" ref="E152:R152" si="425">E149*$B$142</f>
        <v>0</v>
      </c>
      <c r="F152" s="300">
        <f>F149*$B$142</f>
        <v>0</v>
      </c>
      <c r="G152" s="300">
        <f t="shared" si="425"/>
        <v>0</v>
      </c>
      <c r="H152" s="300">
        <f t="shared" si="425"/>
        <v>0</v>
      </c>
      <c r="I152" s="300">
        <f t="shared" si="425"/>
        <v>0</v>
      </c>
      <c r="J152" s="300">
        <f t="shared" si="425"/>
        <v>0</v>
      </c>
      <c r="K152" s="300">
        <f t="shared" si="425"/>
        <v>0</v>
      </c>
      <c r="L152" s="300">
        <f t="shared" si="425"/>
        <v>0</v>
      </c>
      <c r="M152" s="300">
        <f t="shared" si="425"/>
        <v>0</v>
      </c>
      <c r="N152" s="300">
        <f t="shared" si="425"/>
        <v>0</v>
      </c>
      <c r="O152" s="300">
        <f t="shared" si="425"/>
        <v>0</v>
      </c>
      <c r="P152" s="300">
        <f t="shared" si="425"/>
        <v>0</v>
      </c>
      <c r="Q152" s="300">
        <f t="shared" si="425"/>
        <v>0</v>
      </c>
      <c r="R152" s="300">
        <f t="shared" si="425"/>
        <v>0</v>
      </c>
      <c r="S152" s="300">
        <f t="shared" ref="S152:AE152" si="426">S149*$B$142</f>
        <v>0</v>
      </c>
      <c r="T152" s="300">
        <f t="shared" si="426"/>
        <v>0</v>
      </c>
      <c r="U152" s="300">
        <f t="shared" si="426"/>
        <v>0</v>
      </c>
      <c r="V152" s="300">
        <f t="shared" si="426"/>
        <v>0</v>
      </c>
      <c r="W152" s="300">
        <f t="shared" si="426"/>
        <v>0</v>
      </c>
      <c r="X152" s="300">
        <f t="shared" si="426"/>
        <v>0</v>
      </c>
      <c r="Y152" s="300">
        <f t="shared" si="426"/>
        <v>0</v>
      </c>
      <c r="Z152" s="300">
        <f t="shared" si="426"/>
        <v>0</v>
      </c>
      <c r="AA152" s="300">
        <f t="shared" si="426"/>
        <v>0</v>
      </c>
      <c r="AB152" s="300">
        <f t="shared" si="426"/>
        <v>0</v>
      </c>
      <c r="AC152" s="300">
        <f t="shared" si="426"/>
        <v>0</v>
      </c>
      <c r="AD152" s="300">
        <f t="shared" si="426"/>
        <v>0</v>
      </c>
      <c r="AE152" s="300">
        <f t="shared" si="426"/>
        <v>0</v>
      </c>
    </row>
    <row r="153" spans="1:31" s="72" customFormat="1" x14ac:dyDescent="0.2">
      <c r="A153" s="73" t="s">
        <v>422</v>
      </c>
      <c r="B153" s="300">
        <f>B151+B152</f>
        <v>0</v>
      </c>
      <c r="C153" s="300">
        <f t="shared" ref="C153:R153" si="427">C151+C152</f>
        <v>0</v>
      </c>
      <c r="D153" s="300">
        <f t="shared" si="427"/>
        <v>0</v>
      </c>
      <c r="E153" s="300">
        <f t="shared" si="427"/>
        <v>0</v>
      </c>
      <c r="F153" s="300">
        <f t="shared" si="427"/>
        <v>0</v>
      </c>
      <c r="G153" s="300">
        <f t="shared" si="427"/>
        <v>0</v>
      </c>
      <c r="H153" s="300">
        <f t="shared" si="427"/>
        <v>0</v>
      </c>
      <c r="I153" s="300">
        <f t="shared" si="427"/>
        <v>0</v>
      </c>
      <c r="J153" s="300">
        <f t="shared" si="427"/>
        <v>0</v>
      </c>
      <c r="K153" s="300">
        <f t="shared" si="427"/>
        <v>0</v>
      </c>
      <c r="L153" s="300">
        <f t="shared" si="427"/>
        <v>0</v>
      </c>
      <c r="M153" s="300">
        <f t="shared" si="427"/>
        <v>0</v>
      </c>
      <c r="N153" s="300">
        <f t="shared" si="427"/>
        <v>0</v>
      </c>
      <c r="O153" s="300">
        <f t="shared" si="427"/>
        <v>0</v>
      </c>
      <c r="P153" s="300">
        <f t="shared" si="427"/>
        <v>0</v>
      </c>
      <c r="Q153" s="300">
        <f t="shared" si="427"/>
        <v>0</v>
      </c>
      <c r="R153" s="300">
        <f t="shared" si="427"/>
        <v>0</v>
      </c>
      <c r="S153" s="300">
        <f t="shared" ref="S153:AE153" si="428">S151+S152</f>
        <v>0</v>
      </c>
      <c r="T153" s="300">
        <f t="shared" si="428"/>
        <v>0</v>
      </c>
      <c r="U153" s="300">
        <f t="shared" si="428"/>
        <v>0</v>
      </c>
      <c r="V153" s="300">
        <f t="shared" si="428"/>
        <v>0</v>
      </c>
      <c r="W153" s="300">
        <f t="shared" si="428"/>
        <v>0</v>
      </c>
      <c r="X153" s="300">
        <f t="shared" si="428"/>
        <v>0</v>
      </c>
      <c r="Y153" s="300">
        <f t="shared" si="428"/>
        <v>0</v>
      </c>
      <c r="Z153" s="300">
        <f t="shared" si="428"/>
        <v>0</v>
      </c>
      <c r="AA153" s="300">
        <f t="shared" si="428"/>
        <v>0</v>
      </c>
      <c r="AB153" s="300">
        <f t="shared" si="428"/>
        <v>0</v>
      </c>
      <c r="AC153" s="300">
        <f t="shared" si="428"/>
        <v>0</v>
      </c>
      <c r="AD153" s="300">
        <f t="shared" si="428"/>
        <v>0</v>
      </c>
      <c r="AE153" s="300">
        <f t="shared" si="428"/>
        <v>0</v>
      </c>
    </row>
    <row r="154" spans="1:31" s="72" customFormat="1" x14ac:dyDescent="0.2">
      <c r="A154" s="73"/>
      <c r="B154" s="300"/>
      <c r="C154" s="300"/>
      <c r="D154" s="300"/>
      <c r="E154" s="300"/>
      <c r="F154" s="300"/>
      <c r="G154" s="300"/>
      <c r="H154" s="300"/>
      <c r="I154" s="300"/>
      <c r="J154" s="300"/>
      <c r="K154" s="300"/>
      <c r="L154" s="300"/>
      <c r="M154" s="300"/>
      <c r="N154" s="300"/>
      <c r="O154" s="300"/>
      <c r="P154" s="300"/>
      <c r="Q154" s="300"/>
      <c r="R154" s="300"/>
      <c r="S154" s="300"/>
      <c r="T154" s="300"/>
      <c r="U154" s="300"/>
      <c r="V154" s="300"/>
      <c r="W154" s="300"/>
      <c r="X154" s="300"/>
      <c r="Y154" s="300"/>
      <c r="Z154" s="300"/>
      <c r="AA154" s="300"/>
      <c r="AB154" s="300"/>
      <c r="AC154" s="300"/>
      <c r="AD154" s="300"/>
      <c r="AE154" s="300"/>
    </row>
    <row r="155" spans="1:31" s="72" customFormat="1" x14ac:dyDescent="0.2">
      <c r="A155" s="74"/>
      <c r="B155" s="74"/>
    </row>
    <row r="156" spans="1:31" s="72" customFormat="1" ht="15" x14ac:dyDescent="0.25">
      <c r="A156" s="298" t="str">
        <f>assumptions!A30</f>
        <v>VCDP</v>
      </c>
    </row>
    <row r="157" spans="1:31" s="72" customFormat="1" x14ac:dyDescent="0.2"/>
    <row r="158" spans="1:31" s="72" customFormat="1" x14ac:dyDescent="0.2">
      <c r="A158" s="301" t="s">
        <v>413</v>
      </c>
      <c r="B158" s="300">
        <f>assumptions!B30</f>
        <v>0</v>
      </c>
    </row>
    <row r="159" spans="1:31" s="72" customFormat="1" x14ac:dyDescent="0.2">
      <c r="A159" s="301" t="s">
        <v>414</v>
      </c>
      <c r="B159" s="306">
        <f>assumptions!D30</f>
        <v>0</v>
      </c>
    </row>
    <row r="160" spans="1:31" s="72" customFormat="1" x14ac:dyDescent="0.2">
      <c r="A160" s="301" t="s">
        <v>415</v>
      </c>
      <c r="B160" s="300">
        <f>assumptions!E30</f>
        <v>0</v>
      </c>
    </row>
    <row r="161" spans="1:31" s="72" customFormat="1" x14ac:dyDescent="0.2">
      <c r="A161" s="301" t="s">
        <v>416</v>
      </c>
      <c r="B161" s="332">
        <f>IF(assumptions!F30="deferred",0,assumptions!F30)</f>
        <v>0</v>
      </c>
    </row>
    <row r="162" spans="1:31" s="72" customFormat="1" x14ac:dyDescent="0.2">
      <c r="A162" s="301" t="s">
        <v>417</v>
      </c>
      <c r="B162" s="1">
        <f>B158*(B159/12)</f>
        <v>0</v>
      </c>
    </row>
    <row r="163" spans="1:31" s="72" customFormat="1" x14ac:dyDescent="0.2">
      <c r="A163" s="301" t="s">
        <v>418</v>
      </c>
      <c r="B163" s="72">
        <f>B162*12</f>
        <v>0</v>
      </c>
    </row>
    <row r="164" spans="1:31" s="72" customFormat="1" x14ac:dyDescent="0.2"/>
    <row r="165" spans="1:31" s="72" customFormat="1" x14ac:dyDescent="0.2"/>
    <row r="166" spans="1:31" s="72" customFormat="1" x14ac:dyDescent="0.2">
      <c r="A166" s="302" t="s">
        <v>419</v>
      </c>
      <c r="B166" s="303">
        <v>1</v>
      </c>
      <c r="C166" s="303">
        <f t="shared" ref="C166:AE166" si="429">B166+1</f>
        <v>2</v>
      </c>
      <c r="D166" s="303">
        <f t="shared" si="429"/>
        <v>3</v>
      </c>
      <c r="E166" s="303">
        <f t="shared" si="429"/>
        <v>4</v>
      </c>
      <c r="F166" s="303">
        <f t="shared" si="429"/>
        <v>5</v>
      </c>
      <c r="G166" s="303">
        <f t="shared" si="429"/>
        <v>6</v>
      </c>
      <c r="H166" s="303">
        <f t="shared" si="429"/>
        <v>7</v>
      </c>
      <c r="I166" s="303">
        <f t="shared" si="429"/>
        <v>8</v>
      </c>
      <c r="J166" s="303">
        <f t="shared" si="429"/>
        <v>9</v>
      </c>
      <c r="K166" s="303">
        <f t="shared" si="429"/>
        <v>10</v>
      </c>
      <c r="L166" s="303">
        <f t="shared" si="429"/>
        <v>11</v>
      </c>
      <c r="M166" s="303">
        <f t="shared" si="429"/>
        <v>12</v>
      </c>
      <c r="N166" s="303">
        <f t="shared" si="429"/>
        <v>13</v>
      </c>
      <c r="O166" s="303">
        <f t="shared" si="429"/>
        <v>14</v>
      </c>
      <c r="P166" s="303">
        <f t="shared" si="429"/>
        <v>15</v>
      </c>
      <c r="Q166" s="303">
        <f t="shared" si="429"/>
        <v>16</v>
      </c>
      <c r="R166" s="303">
        <f t="shared" si="429"/>
        <v>17</v>
      </c>
      <c r="S166" s="303">
        <f t="shared" si="429"/>
        <v>18</v>
      </c>
      <c r="T166" s="303">
        <f t="shared" si="429"/>
        <v>19</v>
      </c>
      <c r="U166" s="303">
        <f t="shared" si="429"/>
        <v>20</v>
      </c>
      <c r="V166" s="303">
        <f t="shared" si="429"/>
        <v>21</v>
      </c>
      <c r="W166" s="303">
        <f t="shared" si="429"/>
        <v>22</v>
      </c>
      <c r="X166" s="303">
        <f t="shared" si="429"/>
        <v>23</v>
      </c>
      <c r="Y166" s="303">
        <f t="shared" si="429"/>
        <v>24</v>
      </c>
      <c r="Z166" s="303">
        <f t="shared" si="429"/>
        <v>25</v>
      </c>
      <c r="AA166" s="303">
        <f t="shared" si="429"/>
        <v>26</v>
      </c>
      <c r="AB166" s="303">
        <f t="shared" si="429"/>
        <v>27</v>
      </c>
      <c r="AC166" s="303">
        <f t="shared" si="429"/>
        <v>28</v>
      </c>
      <c r="AD166" s="303">
        <f t="shared" si="429"/>
        <v>29</v>
      </c>
      <c r="AE166" s="303">
        <f t="shared" si="429"/>
        <v>30</v>
      </c>
    </row>
    <row r="167" spans="1:31" s="72" customFormat="1" x14ac:dyDescent="0.2">
      <c r="A167" s="73" t="s">
        <v>420</v>
      </c>
      <c r="B167" s="300">
        <f>B158</f>
        <v>0</v>
      </c>
      <c r="C167" s="300">
        <f t="shared" ref="C167:AE167" si="430">B168</f>
        <v>0</v>
      </c>
      <c r="D167" s="300">
        <f t="shared" si="430"/>
        <v>0</v>
      </c>
      <c r="E167" s="300">
        <f t="shared" si="430"/>
        <v>0</v>
      </c>
      <c r="F167" s="300">
        <f t="shared" si="430"/>
        <v>0</v>
      </c>
      <c r="G167" s="300">
        <f t="shared" si="430"/>
        <v>0</v>
      </c>
      <c r="H167" s="300">
        <f t="shared" si="430"/>
        <v>0</v>
      </c>
      <c r="I167" s="300">
        <f t="shared" si="430"/>
        <v>0</v>
      </c>
      <c r="J167" s="300">
        <f t="shared" si="430"/>
        <v>0</v>
      </c>
      <c r="K167" s="300">
        <f t="shared" si="430"/>
        <v>0</v>
      </c>
      <c r="L167" s="300">
        <f t="shared" si="430"/>
        <v>0</v>
      </c>
      <c r="M167" s="300">
        <f t="shared" si="430"/>
        <v>0</v>
      </c>
      <c r="N167" s="300">
        <f t="shared" si="430"/>
        <v>0</v>
      </c>
      <c r="O167" s="300">
        <f t="shared" si="430"/>
        <v>0</v>
      </c>
      <c r="P167" s="300">
        <f t="shared" si="430"/>
        <v>0</v>
      </c>
      <c r="Q167" s="300">
        <f t="shared" si="430"/>
        <v>0</v>
      </c>
      <c r="R167" s="300">
        <f t="shared" si="430"/>
        <v>0</v>
      </c>
      <c r="S167" s="300">
        <f t="shared" si="430"/>
        <v>0</v>
      </c>
      <c r="T167" s="300">
        <f t="shared" si="430"/>
        <v>0</v>
      </c>
      <c r="U167" s="300">
        <f t="shared" si="430"/>
        <v>0</v>
      </c>
      <c r="V167" s="300">
        <f t="shared" si="430"/>
        <v>0</v>
      </c>
      <c r="W167" s="300">
        <f t="shared" si="430"/>
        <v>0</v>
      </c>
      <c r="X167" s="300">
        <f t="shared" si="430"/>
        <v>0</v>
      </c>
      <c r="Y167" s="300">
        <f t="shared" si="430"/>
        <v>0</v>
      </c>
      <c r="Z167" s="300">
        <f t="shared" si="430"/>
        <v>0</v>
      </c>
      <c r="AA167" s="300">
        <f t="shared" si="430"/>
        <v>0</v>
      </c>
      <c r="AB167" s="300">
        <f t="shared" si="430"/>
        <v>0</v>
      </c>
      <c r="AC167" s="300">
        <f t="shared" si="430"/>
        <v>0</v>
      </c>
      <c r="AD167" s="300">
        <f t="shared" si="430"/>
        <v>0</v>
      </c>
      <c r="AE167" s="300">
        <f t="shared" si="430"/>
        <v>0</v>
      </c>
    </row>
    <row r="168" spans="1:31" s="72" customFormat="1" x14ac:dyDescent="0.2">
      <c r="A168" s="73" t="s">
        <v>421</v>
      </c>
      <c r="B168" s="300">
        <f>B167+B170</f>
        <v>0</v>
      </c>
      <c r="C168" s="300">
        <f t="shared" ref="C168:AE168" si="431">C167+C170</f>
        <v>0</v>
      </c>
      <c r="D168" s="300">
        <f t="shared" si="431"/>
        <v>0</v>
      </c>
      <c r="E168" s="300">
        <f>E167+E170</f>
        <v>0</v>
      </c>
      <c r="F168" s="300">
        <f t="shared" si="431"/>
        <v>0</v>
      </c>
      <c r="G168" s="300">
        <f t="shared" si="431"/>
        <v>0</v>
      </c>
      <c r="H168" s="300">
        <f t="shared" si="431"/>
        <v>0</v>
      </c>
      <c r="I168" s="300">
        <f t="shared" si="431"/>
        <v>0</v>
      </c>
      <c r="J168" s="300">
        <f t="shared" si="431"/>
        <v>0</v>
      </c>
      <c r="K168" s="300">
        <f t="shared" si="431"/>
        <v>0</v>
      </c>
      <c r="L168" s="300">
        <f t="shared" si="431"/>
        <v>0</v>
      </c>
      <c r="M168" s="300">
        <f t="shared" si="431"/>
        <v>0</v>
      </c>
      <c r="N168" s="300">
        <f t="shared" si="431"/>
        <v>0</v>
      </c>
      <c r="O168" s="300">
        <f t="shared" si="431"/>
        <v>0</v>
      </c>
      <c r="P168" s="300">
        <f t="shared" si="431"/>
        <v>0</v>
      </c>
      <c r="Q168" s="300">
        <f t="shared" si="431"/>
        <v>0</v>
      </c>
      <c r="R168" s="300">
        <f t="shared" si="431"/>
        <v>0</v>
      </c>
      <c r="S168" s="300">
        <f t="shared" si="431"/>
        <v>0</v>
      </c>
      <c r="T168" s="300">
        <f t="shared" si="431"/>
        <v>0</v>
      </c>
      <c r="U168" s="300">
        <f t="shared" si="431"/>
        <v>0</v>
      </c>
      <c r="V168" s="300">
        <f t="shared" si="431"/>
        <v>0</v>
      </c>
      <c r="W168" s="300">
        <f t="shared" si="431"/>
        <v>0</v>
      </c>
      <c r="X168" s="300">
        <f t="shared" si="431"/>
        <v>0</v>
      </c>
      <c r="Y168" s="300">
        <f t="shared" si="431"/>
        <v>0</v>
      </c>
      <c r="Z168" s="300">
        <f t="shared" si="431"/>
        <v>0</v>
      </c>
      <c r="AA168" s="300">
        <f t="shared" si="431"/>
        <v>0</v>
      </c>
      <c r="AB168" s="300">
        <f t="shared" si="431"/>
        <v>0</v>
      </c>
      <c r="AC168" s="300">
        <f t="shared" si="431"/>
        <v>0</v>
      </c>
      <c r="AD168" s="300">
        <f t="shared" si="431"/>
        <v>0</v>
      </c>
      <c r="AE168" s="300">
        <f t="shared" si="431"/>
        <v>0</v>
      </c>
    </row>
    <row r="169" spans="1:31" s="72" customFormat="1" x14ac:dyDescent="0.2">
      <c r="A169" s="73" t="s">
        <v>413</v>
      </c>
      <c r="B169" s="1">
        <f>IF($B$161=B166,B167,0)</f>
        <v>0</v>
      </c>
      <c r="C169" s="1">
        <f t="shared" ref="C169:AE169" si="432">IF($B$161=C166,C167,0)</f>
        <v>0</v>
      </c>
      <c r="D169" s="1">
        <f t="shared" si="432"/>
        <v>0</v>
      </c>
      <c r="E169" s="1">
        <f t="shared" si="432"/>
        <v>0</v>
      </c>
      <c r="F169" s="1">
        <f t="shared" si="432"/>
        <v>0</v>
      </c>
      <c r="G169" s="1">
        <f t="shared" si="432"/>
        <v>0</v>
      </c>
      <c r="H169" s="1">
        <f t="shared" si="432"/>
        <v>0</v>
      </c>
      <c r="I169" s="1">
        <f t="shared" si="432"/>
        <v>0</v>
      </c>
      <c r="J169" s="1">
        <f t="shared" si="432"/>
        <v>0</v>
      </c>
      <c r="K169" s="1">
        <f t="shared" si="432"/>
        <v>0</v>
      </c>
      <c r="L169" s="1">
        <f t="shared" si="432"/>
        <v>0</v>
      </c>
      <c r="M169" s="1">
        <f t="shared" si="432"/>
        <v>0</v>
      </c>
      <c r="N169" s="1">
        <f t="shared" si="432"/>
        <v>0</v>
      </c>
      <c r="O169" s="1">
        <f t="shared" si="432"/>
        <v>0</v>
      </c>
      <c r="P169" s="1">
        <f t="shared" si="432"/>
        <v>0</v>
      </c>
      <c r="Q169" s="1">
        <f t="shared" si="432"/>
        <v>0</v>
      </c>
      <c r="R169" s="1">
        <f t="shared" si="432"/>
        <v>0</v>
      </c>
      <c r="S169" s="1">
        <f t="shared" si="432"/>
        <v>0</v>
      </c>
      <c r="T169" s="1">
        <f t="shared" si="432"/>
        <v>0</v>
      </c>
      <c r="U169" s="1">
        <f t="shared" si="432"/>
        <v>0</v>
      </c>
      <c r="V169" s="1">
        <f t="shared" si="432"/>
        <v>0</v>
      </c>
      <c r="W169" s="1">
        <f t="shared" si="432"/>
        <v>0</v>
      </c>
      <c r="X169" s="1">
        <f t="shared" si="432"/>
        <v>0</v>
      </c>
      <c r="Y169" s="1">
        <f t="shared" si="432"/>
        <v>0</v>
      </c>
      <c r="Z169" s="1">
        <f t="shared" si="432"/>
        <v>0</v>
      </c>
      <c r="AA169" s="1">
        <f t="shared" si="432"/>
        <v>0</v>
      </c>
      <c r="AB169" s="1">
        <f t="shared" si="432"/>
        <v>0</v>
      </c>
      <c r="AC169" s="1">
        <f t="shared" si="432"/>
        <v>0</v>
      </c>
      <c r="AD169" s="1">
        <f t="shared" si="432"/>
        <v>0</v>
      </c>
      <c r="AE169" s="1">
        <f t="shared" si="432"/>
        <v>0</v>
      </c>
    </row>
    <row r="170" spans="1:31" s="72" customFormat="1" x14ac:dyDescent="0.2">
      <c r="A170" s="73" t="s">
        <v>414</v>
      </c>
      <c r="B170" s="300">
        <f>B167*$B$159</f>
        <v>0</v>
      </c>
      <c r="C170" s="300">
        <f>C167*$B$159</f>
        <v>0</v>
      </c>
      <c r="D170" s="300">
        <f>D167*$B$159</f>
        <v>0</v>
      </c>
      <c r="E170" s="300">
        <f>E167*$B$159</f>
        <v>0</v>
      </c>
      <c r="F170" s="300">
        <f t="shared" ref="F170:AE170" si="433">F167*$B$159</f>
        <v>0</v>
      </c>
      <c r="G170" s="300">
        <f t="shared" si="433"/>
        <v>0</v>
      </c>
      <c r="H170" s="300">
        <f t="shared" si="433"/>
        <v>0</v>
      </c>
      <c r="I170" s="300">
        <f t="shared" si="433"/>
        <v>0</v>
      </c>
      <c r="J170" s="300">
        <f t="shared" si="433"/>
        <v>0</v>
      </c>
      <c r="K170" s="300">
        <f t="shared" si="433"/>
        <v>0</v>
      </c>
      <c r="L170" s="300">
        <f t="shared" si="433"/>
        <v>0</v>
      </c>
      <c r="M170" s="300">
        <f t="shared" si="433"/>
        <v>0</v>
      </c>
      <c r="N170" s="300">
        <f t="shared" si="433"/>
        <v>0</v>
      </c>
      <c r="O170" s="300">
        <f t="shared" si="433"/>
        <v>0</v>
      </c>
      <c r="P170" s="300">
        <f t="shared" si="433"/>
        <v>0</v>
      </c>
      <c r="Q170" s="300">
        <f t="shared" si="433"/>
        <v>0</v>
      </c>
      <c r="R170" s="300">
        <f t="shared" si="433"/>
        <v>0</v>
      </c>
      <c r="S170" s="300">
        <f t="shared" si="433"/>
        <v>0</v>
      </c>
      <c r="T170" s="300">
        <f t="shared" si="433"/>
        <v>0</v>
      </c>
      <c r="U170" s="300">
        <f t="shared" si="433"/>
        <v>0</v>
      </c>
      <c r="V170" s="300">
        <f t="shared" si="433"/>
        <v>0</v>
      </c>
      <c r="W170" s="300">
        <f t="shared" si="433"/>
        <v>0</v>
      </c>
      <c r="X170" s="300">
        <f t="shared" si="433"/>
        <v>0</v>
      </c>
      <c r="Y170" s="300">
        <f t="shared" si="433"/>
        <v>0</v>
      </c>
      <c r="Z170" s="300">
        <f t="shared" si="433"/>
        <v>0</v>
      </c>
      <c r="AA170" s="300">
        <f t="shared" si="433"/>
        <v>0</v>
      </c>
      <c r="AB170" s="300">
        <f t="shared" si="433"/>
        <v>0</v>
      </c>
      <c r="AC170" s="300">
        <f t="shared" si="433"/>
        <v>0</v>
      </c>
      <c r="AD170" s="300">
        <f t="shared" si="433"/>
        <v>0</v>
      </c>
      <c r="AE170" s="300">
        <f t="shared" si="433"/>
        <v>0</v>
      </c>
    </row>
    <row r="171" spans="1:31" s="72" customFormat="1" x14ac:dyDescent="0.2">
      <c r="A171" s="73" t="s">
        <v>422</v>
      </c>
      <c r="B171" s="300">
        <f>B169+B170</f>
        <v>0</v>
      </c>
      <c r="C171" s="300">
        <f>C169+C170</f>
        <v>0</v>
      </c>
      <c r="D171" s="300">
        <f t="shared" ref="D171:AE171" si="434">D169+D170</f>
        <v>0</v>
      </c>
      <c r="E171" s="300">
        <f t="shared" si="434"/>
        <v>0</v>
      </c>
      <c r="F171" s="300">
        <f t="shared" si="434"/>
        <v>0</v>
      </c>
      <c r="G171" s="300">
        <f t="shared" si="434"/>
        <v>0</v>
      </c>
      <c r="H171" s="300">
        <f t="shared" si="434"/>
        <v>0</v>
      </c>
      <c r="I171" s="300">
        <f t="shared" si="434"/>
        <v>0</v>
      </c>
      <c r="J171" s="300">
        <f t="shared" si="434"/>
        <v>0</v>
      </c>
      <c r="K171" s="300">
        <f t="shared" si="434"/>
        <v>0</v>
      </c>
      <c r="L171" s="300">
        <f t="shared" si="434"/>
        <v>0</v>
      </c>
      <c r="M171" s="300">
        <f t="shared" si="434"/>
        <v>0</v>
      </c>
      <c r="N171" s="300">
        <f t="shared" si="434"/>
        <v>0</v>
      </c>
      <c r="O171" s="300">
        <f t="shared" si="434"/>
        <v>0</v>
      </c>
      <c r="P171" s="300">
        <f t="shared" si="434"/>
        <v>0</v>
      </c>
      <c r="Q171" s="300">
        <f t="shared" si="434"/>
        <v>0</v>
      </c>
      <c r="R171" s="300">
        <f t="shared" si="434"/>
        <v>0</v>
      </c>
      <c r="S171" s="300">
        <f t="shared" si="434"/>
        <v>0</v>
      </c>
      <c r="T171" s="300">
        <f t="shared" si="434"/>
        <v>0</v>
      </c>
      <c r="U171" s="300">
        <f t="shared" si="434"/>
        <v>0</v>
      </c>
      <c r="V171" s="300">
        <f t="shared" si="434"/>
        <v>0</v>
      </c>
      <c r="W171" s="300">
        <f t="shared" si="434"/>
        <v>0</v>
      </c>
      <c r="X171" s="300">
        <f t="shared" si="434"/>
        <v>0</v>
      </c>
      <c r="Y171" s="300">
        <f t="shared" si="434"/>
        <v>0</v>
      </c>
      <c r="Z171" s="300">
        <f t="shared" si="434"/>
        <v>0</v>
      </c>
      <c r="AA171" s="300">
        <f t="shared" si="434"/>
        <v>0</v>
      </c>
      <c r="AB171" s="300">
        <f t="shared" si="434"/>
        <v>0</v>
      </c>
      <c r="AC171" s="300">
        <f t="shared" si="434"/>
        <v>0</v>
      </c>
      <c r="AD171" s="300">
        <f t="shared" si="434"/>
        <v>0</v>
      </c>
      <c r="AE171" s="300">
        <f t="shared" si="434"/>
        <v>0</v>
      </c>
    </row>
    <row r="172" spans="1:31" s="72" customFormat="1" x14ac:dyDescent="0.2">
      <c r="A172" s="73"/>
      <c r="B172" s="300"/>
      <c r="C172" s="300"/>
      <c r="D172" s="300"/>
      <c r="E172" s="300"/>
      <c r="F172" s="300"/>
      <c r="G172" s="300"/>
      <c r="H172" s="300"/>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row>
    <row r="173" spans="1:31" s="72" customFormat="1" x14ac:dyDescent="0.2"/>
    <row r="174" spans="1:31" s="72" customFormat="1" ht="15" x14ac:dyDescent="0.25">
      <c r="A174" s="298" t="str">
        <f>assumptions!A31</f>
        <v>VHCB</v>
      </c>
    </row>
    <row r="175" spans="1:31" s="72" customFormat="1" x14ac:dyDescent="0.2"/>
    <row r="176" spans="1:31" s="72" customFormat="1" x14ac:dyDescent="0.2">
      <c r="A176" s="301" t="s">
        <v>413</v>
      </c>
      <c r="B176" s="300">
        <f>assumptions!B31</f>
        <v>0</v>
      </c>
    </row>
    <row r="177" spans="1:31" s="72" customFormat="1" x14ac:dyDescent="0.2">
      <c r="A177" s="301" t="s">
        <v>414</v>
      </c>
      <c r="B177" s="306">
        <f>assumptions!D31</f>
        <v>0</v>
      </c>
    </row>
    <row r="178" spans="1:31" s="72" customFormat="1" x14ac:dyDescent="0.2">
      <c r="A178" s="301" t="s">
        <v>415</v>
      </c>
      <c r="B178" s="300">
        <f>assumptions!E31</f>
        <v>0</v>
      </c>
    </row>
    <row r="179" spans="1:31" s="72" customFormat="1" x14ac:dyDescent="0.2">
      <c r="A179" s="301" t="s">
        <v>416</v>
      </c>
      <c r="B179" s="332">
        <f>IF(assumptions!F31="deferred",0,assumptions!F31)</f>
        <v>0</v>
      </c>
    </row>
    <row r="180" spans="1:31" s="72" customFormat="1" x14ac:dyDescent="0.2">
      <c r="A180" s="301" t="s">
        <v>417</v>
      </c>
      <c r="B180" s="1">
        <f>B176*(B177/12)</f>
        <v>0</v>
      </c>
    </row>
    <row r="181" spans="1:31" s="72" customFormat="1" x14ac:dyDescent="0.2">
      <c r="A181" s="301" t="s">
        <v>418</v>
      </c>
      <c r="B181" s="72">
        <f>B180*12</f>
        <v>0</v>
      </c>
    </row>
    <row r="182" spans="1:31" s="72" customFormat="1" x14ac:dyDescent="0.2"/>
    <row r="183" spans="1:31" s="72" customFormat="1" x14ac:dyDescent="0.2"/>
    <row r="184" spans="1:31" s="72" customFormat="1" x14ac:dyDescent="0.2">
      <c r="A184" s="302" t="s">
        <v>419</v>
      </c>
      <c r="B184" s="303">
        <v>1</v>
      </c>
      <c r="C184" s="303">
        <f t="shared" ref="C184:AE184" si="435">B184+1</f>
        <v>2</v>
      </c>
      <c r="D184" s="303">
        <f t="shared" si="435"/>
        <v>3</v>
      </c>
      <c r="E184" s="303">
        <f t="shared" si="435"/>
        <v>4</v>
      </c>
      <c r="F184" s="303">
        <f t="shared" si="435"/>
        <v>5</v>
      </c>
      <c r="G184" s="303">
        <f t="shared" si="435"/>
        <v>6</v>
      </c>
      <c r="H184" s="303">
        <f t="shared" si="435"/>
        <v>7</v>
      </c>
      <c r="I184" s="303">
        <f t="shared" si="435"/>
        <v>8</v>
      </c>
      <c r="J184" s="303">
        <f t="shared" si="435"/>
        <v>9</v>
      </c>
      <c r="K184" s="303">
        <f t="shared" si="435"/>
        <v>10</v>
      </c>
      <c r="L184" s="303">
        <f t="shared" si="435"/>
        <v>11</v>
      </c>
      <c r="M184" s="303">
        <f t="shared" si="435"/>
        <v>12</v>
      </c>
      <c r="N184" s="303">
        <f t="shared" si="435"/>
        <v>13</v>
      </c>
      <c r="O184" s="303">
        <f t="shared" si="435"/>
        <v>14</v>
      </c>
      <c r="P184" s="303">
        <f t="shared" si="435"/>
        <v>15</v>
      </c>
      <c r="Q184" s="303">
        <f t="shared" si="435"/>
        <v>16</v>
      </c>
      <c r="R184" s="303">
        <f t="shared" si="435"/>
        <v>17</v>
      </c>
      <c r="S184" s="303">
        <f t="shared" si="435"/>
        <v>18</v>
      </c>
      <c r="T184" s="303">
        <f t="shared" si="435"/>
        <v>19</v>
      </c>
      <c r="U184" s="303">
        <f t="shared" si="435"/>
        <v>20</v>
      </c>
      <c r="V184" s="303">
        <f t="shared" si="435"/>
        <v>21</v>
      </c>
      <c r="W184" s="303">
        <f t="shared" si="435"/>
        <v>22</v>
      </c>
      <c r="X184" s="303">
        <f t="shared" si="435"/>
        <v>23</v>
      </c>
      <c r="Y184" s="303">
        <f t="shared" si="435"/>
        <v>24</v>
      </c>
      <c r="Z184" s="303">
        <f t="shared" si="435"/>
        <v>25</v>
      </c>
      <c r="AA184" s="303">
        <f t="shared" si="435"/>
        <v>26</v>
      </c>
      <c r="AB184" s="303">
        <f t="shared" si="435"/>
        <v>27</v>
      </c>
      <c r="AC184" s="303">
        <f t="shared" si="435"/>
        <v>28</v>
      </c>
      <c r="AD184" s="303">
        <f t="shared" si="435"/>
        <v>29</v>
      </c>
      <c r="AE184" s="303">
        <f t="shared" si="435"/>
        <v>30</v>
      </c>
    </row>
    <row r="185" spans="1:31" s="72" customFormat="1" x14ac:dyDescent="0.2">
      <c r="A185" s="73" t="s">
        <v>420</v>
      </c>
      <c r="B185" s="300">
        <f>B176</f>
        <v>0</v>
      </c>
      <c r="C185" s="300">
        <f t="shared" ref="C185:AE185" si="436">B186</f>
        <v>0</v>
      </c>
      <c r="D185" s="300">
        <f t="shared" si="436"/>
        <v>0</v>
      </c>
      <c r="E185" s="300">
        <f t="shared" si="436"/>
        <v>0</v>
      </c>
      <c r="F185" s="300">
        <f t="shared" si="436"/>
        <v>0</v>
      </c>
      <c r="G185" s="300">
        <f t="shared" si="436"/>
        <v>0</v>
      </c>
      <c r="H185" s="300">
        <f t="shared" si="436"/>
        <v>0</v>
      </c>
      <c r="I185" s="300">
        <f t="shared" si="436"/>
        <v>0</v>
      </c>
      <c r="J185" s="300">
        <f t="shared" si="436"/>
        <v>0</v>
      </c>
      <c r="K185" s="300">
        <f t="shared" si="436"/>
        <v>0</v>
      </c>
      <c r="L185" s="300">
        <f t="shared" si="436"/>
        <v>0</v>
      </c>
      <c r="M185" s="300">
        <f t="shared" si="436"/>
        <v>0</v>
      </c>
      <c r="N185" s="300">
        <f t="shared" si="436"/>
        <v>0</v>
      </c>
      <c r="O185" s="300">
        <f t="shared" si="436"/>
        <v>0</v>
      </c>
      <c r="P185" s="300">
        <f t="shared" si="436"/>
        <v>0</v>
      </c>
      <c r="Q185" s="300">
        <f t="shared" si="436"/>
        <v>0</v>
      </c>
      <c r="R185" s="300">
        <f t="shared" si="436"/>
        <v>0</v>
      </c>
      <c r="S185" s="300">
        <f t="shared" si="436"/>
        <v>0</v>
      </c>
      <c r="T185" s="300">
        <f t="shared" si="436"/>
        <v>0</v>
      </c>
      <c r="U185" s="300">
        <f t="shared" si="436"/>
        <v>0</v>
      </c>
      <c r="V185" s="300">
        <f t="shared" si="436"/>
        <v>0</v>
      </c>
      <c r="W185" s="300">
        <f t="shared" si="436"/>
        <v>0</v>
      </c>
      <c r="X185" s="300">
        <f t="shared" si="436"/>
        <v>0</v>
      </c>
      <c r="Y185" s="300">
        <f t="shared" si="436"/>
        <v>0</v>
      </c>
      <c r="Z185" s="300">
        <f t="shared" si="436"/>
        <v>0</v>
      </c>
      <c r="AA185" s="300">
        <f t="shared" si="436"/>
        <v>0</v>
      </c>
      <c r="AB185" s="300">
        <f t="shared" si="436"/>
        <v>0</v>
      </c>
      <c r="AC185" s="300">
        <f t="shared" si="436"/>
        <v>0</v>
      </c>
      <c r="AD185" s="300">
        <f t="shared" si="436"/>
        <v>0</v>
      </c>
      <c r="AE185" s="300">
        <f t="shared" si="436"/>
        <v>0</v>
      </c>
    </row>
    <row r="186" spans="1:31" s="72" customFormat="1" x14ac:dyDescent="0.2">
      <c r="A186" s="73" t="s">
        <v>421</v>
      </c>
      <c r="B186" s="300">
        <f>B185+B188</f>
        <v>0</v>
      </c>
      <c r="C186" s="300">
        <f t="shared" ref="C186:AE186" si="437">C185+C188</f>
        <v>0</v>
      </c>
      <c r="D186" s="300">
        <f t="shared" si="437"/>
        <v>0</v>
      </c>
      <c r="E186" s="300">
        <f t="shared" si="437"/>
        <v>0</v>
      </c>
      <c r="F186" s="300">
        <f t="shared" si="437"/>
        <v>0</v>
      </c>
      <c r="G186" s="300">
        <f t="shared" si="437"/>
        <v>0</v>
      </c>
      <c r="H186" s="300">
        <f t="shared" si="437"/>
        <v>0</v>
      </c>
      <c r="I186" s="300">
        <f t="shared" si="437"/>
        <v>0</v>
      </c>
      <c r="J186" s="300">
        <f t="shared" si="437"/>
        <v>0</v>
      </c>
      <c r="K186" s="300">
        <f t="shared" si="437"/>
        <v>0</v>
      </c>
      <c r="L186" s="300">
        <f t="shared" si="437"/>
        <v>0</v>
      </c>
      <c r="M186" s="300">
        <f t="shared" si="437"/>
        <v>0</v>
      </c>
      <c r="N186" s="300">
        <f t="shared" si="437"/>
        <v>0</v>
      </c>
      <c r="O186" s="300">
        <f t="shared" si="437"/>
        <v>0</v>
      </c>
      <c r="P186" s="300">
        <f t="shared" si="437"/>
        <v>0</v>
      </c>
      <c r="Q186" s="300">
        <f t="shared" si="437"/>
        <v>0</v>
      </c>
      <c r="R186" s="300">
        <f t="shared" si="437"/>
        <v>0</v>
      </c>
      <c r="S186" s="300">
        <f t="shared" si="437"/>
        <v>0</v>
      </c>
      <c r="T186" s="300">
        <f t="shared" si="437"/>
        <v>0</v>
      </c>
      <c r="U186" s="300">
        <f t="shared" si="437"/>
        <v>0</v>
      </c>
      <c r="V186" s="300">
        <f t="shared" si="437"/>
        <v>0</v>
      </c>
      <c r="W186" s="300">
        <f t="shared" si="437"/>
        <v>0</v>
      </c>
      <c r="X186" s="300">
        <f t="shared" si="437"/>
        <v>0</v>
      </c>
      <c r="Y186" s="300">
        <f t="shared" si="437"/>
        <v>0</v>
      </c>
      <c r="Z186" s="300">
        <f t="shared" si="437"/>
        <v>0</v>
      </c>
      <c r="AA186" s="300">
        <f t="shared" si="437"/>
        <v>0</v>
      </c>
      <c r="AB186" s="300">
        <f t="shared" si="437"/>
        <v>0</v>
      </c>
      <c r="AC186" s="300">
        <f t="shared" si="437"/>
        <v>0</v>
      </c>
      <c r="AD186" s="300">
        <f t="shared" si="437"/>
        <v>0</v>
      </c>
      <c r="AE186" s="300">
        <f t="shared" si="437"/>
        <v>0</v>
      </c>
    </row>
    <row r="187" spans="1:31" s="72" customFormat="1" x14ac:dyDescent="0.2">
      <c r="A187" s="73" t="s">
        <v>413</v>
      </c>
      <c r="B187" s="1">
        <f>IF($B179=B184,B185,0)</f>
        <v>0</v>
      </c>
      <c r="C187" s="1">
        <f t="shared" ref="C187:AE187" si="438">IF($B$179=C184,C185,0)</f>
        <v>0</v>
      </c>
      <c r="D187" s="1">
        <f t="shared" si="438"/>
        <v>0</v>
      </c>
      <c r="E187" s="1">
        <f t="shared" si="438"/>
        <v>0</v>
      </c>
      <c r="F187" s="1">
        <f t="shared" si="438"/>
        <v>0</v>
      </c>
      <c r="G187" s="1">
        <f t="shared" si="438"/>
        <v>0</v>
      </c>
      <c r="H187" s="1">
        <f t="shared" si="438"/>
        <v>0</v>
      </c>
      <c r="I187" s="1">
        <f t="shared" si="438"/>
        <v>0</v>
      </c>
      <c r="J187" s="1">
        <f t="shared" si="438"/>
        <v>0</v>
      </c>
      <c r="K187" s="1">
        <f t="shared" si="438"/>
        <v>0</v>
      </c>
      <c r="L187" s="1">
        <f t="shared" si="438"/>
        <v>0</v>
      </c>
      <c r="M187" s="1">
        <f t="shared" si="438"/>
        <v>0</v>
      </c>
      <c r="N187" s="1">
        <f t="shared" si="438"/>
        <v>0</v>
      </c>
      <c r="O187" s="1">
        <f t="shared" si="438"/>
        <v>0</v>
      </c>
      <c r="P187" s="1">
        <f t="shared" si="438"/>
        <v>0</v>
      </c>
      <c r="Q187" s="1">
        <f t="shared" si="438"/>
        <v>0</v>
      </c>
      <c r="R187" s="1">
        <f t="shared" si="438"/>
        <v>0</v>
      </c>
      <c r="S187" s="1">
        <f t="shared" si="438"/>
        <v>0</v>
      </c>
      <c r="T187" s="1">
        <f t="shared" si="438"/>
        <v>0</v>
      </c>
      <c r="U187" s="1">
        <f t="shared" si="438"/>
        <v>0</v>
      </c>
      <c r="V187" s="1">
        <f t="shared" si="438"/>
        <v>0</v>
      </c>
      <c r="W187" s="1">
        <f t="shared" si="438"/>
        <v>0</v>
      </c>
      <c r="X187" s="1">
        <f t="shared" si="438"/>
        <v>0</v>
      </c>
      <c r="Y187" s="1">
        <f t="shared" si="438"/>
        <v>0</v>
      </c>
      <c r="Z187" s="1">
        <f t="shared" si="438"/>
        <v>0</v>
      </c>
      <c r="AA187" s="1">
        <f t="shared" si="438"/>
        <v>0</v>
      </c>
      <c r="AB187" s="1">
        <f t="shared" si="438"/>
        <v>0</v>
      </c>
      <c r="AC187" s="1">
        <f t="shared" si="438"/>
        <v>0</v>
      </c>
      <c r="AD187" s="1">
        <f t="shared" si="438"/>
        <v>0</v>
      </c>
      <c r="AE187" s="1">
        <f t="shared" si="438"/>
        <v>0</v>
      </c>
    </row>
    <row r="188" spans="1:31" s="72" customFormat="1" x14ac:dyDescent="0.2">
      <c r="A188" s="305" t="s">
        <v>414</v>
      </c>
      <c r="B188" s="300">
        <f>B185*$B$177</f>
        <v>0</v>
      </c>
      <c r="C188" s="300">
        <f>C185*$B$177</f>
        <v>0</v>
      </c>
      <c r="D188" s="300">
        <f>D185*$B$177</f>
        <v>0</v>
      </c>
      <c r="E188" s="300">
        <f>E185*$B$177</f>
        <v>0</v>
      </c>
      <c r="F188" s="300">
        <f t="shared" ref="F188:AE188" si="439">F185*$B$177</f>
        <v>0</v>
      </c>
      <c r="G188" s="300">
        <f t="shared" si="439"/>
        <v>0</v>
      </c>
      <c r="H188" s="300">
        <f t="shared" si="439"/>
        <v>0</v>
      </c>
      <c r="I188" s="300">
        <f t="shared" si="439"/>
        <v>0</v>
      </c>
      <c r="J188" s="300">
        <f t="shared" si="439"/>
        <v>0</v>
      </c>
      <c r="K188" s="300">
        <f t="shared" si="439"/>
        <v>0</v>
      </c>
      <c r="L188" s="300">
        <f t="shared" si="439"/>
        <v>0</v>
      </c>
      <c r="M188" s="300">
        <f t="shared" si="439"/>
        <v>0</v>
      </c>
      <c r="N188" s="300">
        <f t="shared" si="439"/>
        <v>0</v>
      </c>
      <c r="O188" s="300">
        <f t="shared" si="439"/>
        <v>0</v>
      </c>
      <c r="P188" s="300">
        <f t="shared" si="439"/>
        <v>0</v>
      </c>
      <c r="Q188" s="300">
        <f t="shared" si="439"/>
        <v>0</v>
      </c>
      <c r="R188" s="300">
        <f t="shared" si="439"/>
        <v>0</v>
      </c>
      <c r="S188" s="300">
        <f t="shared" si="439"/>
        <v>0</v>
      </c>
      <c r="T188" s="300">
        <f t="shared" si="439"/>
        <v>0</v>
      </c>
      <c r="U188" s="300">
        <f t="shared" si="439"/>
        <v>0</v>
      </c>
      <c r="V188" s="300">
        <f t="shared" si="439"/>
        <v>0</v>
      </c>
      <c r="W188" s="300">
        <f t="shared" si="439"/>
        <v>0</v>
      </c>
      <c r="X188" s="300">
        <f t="shared" si="439"/>
        <v>0</v>
      </c>
      <c r="Y188" s="300">
        <f t="shared" si="439"/>
        <v>0</v>
      </c>
      <c r="Z188" s="300">
        <f t="shared" si="439"/>
        <v>0</v>
      </c>
      <c r="AA188" s="300">
        <f t="shared" si="439"/>
        <v>0</v>
      </c>
      <c r="AB188" s="300">
        <f t="shared" si="439"/>
        <v>0</v>
      </c>
      <c r="AC188" s="300">
        <f t="shared" si="439"/>
        <v>0</v>
      </c>
      <c r="AD188" s="300">
        <f t="shared" si="439"/>
        <v>0</v>
      </c>
      <c r="AE188" s="300">
        <f t="shared" si="439"/>
        <v>0</v>
      </c>
    </row>
    <row r="189" spans="1:31" s="72" customFormat="1" x14ac:dyDescent="0.2">
      <c r="A189" s="305" t="s">
        <v>422</v>
      </c>
      <c r="B189" s="300">
        <f>B187+B188</f>
        <v>0</v>
      </c>
      <c r="C189" s="300">
        <f>C187+C188</f>
        <v>0</v>
      </c>
      <c r="D189" s="300">
        <f t="shared" ref="D189:AE189" si="440">D187+D188</f>
        <v>0</v>
      </c>
      <c r="E189" s="300">
        <f t="shared" si="440"/>
        <v>0</v>
      </c>
      <c r="F189" s="300">
        <f t="shared" si="440"/>
        <v>0</v>
      </c>
      <c r="G189" s="300">
        <f t="shared" si="440"/>
        <v>0</v>
      </c>
      <c r="H189" s="300">
        <f t="shared" si="440"/>
        <v>0</v>
      </c>
      <c r="I189" s="300">
        <f t="shared" si="440"/>
        <v>0</v>
      </c>
      <c r="J189" s="300">
        <f t="shared" si="440"/>
        <v>0</v>
      </c>
      <c r="K189" s="300">
        <f t="shared" si="440"/>
        <v>0</v>
      </c>
      <c r="L189" s="300">
        <f t="shared" si="440"/>
        <v>0</v>
      </c>
      <c r="M189" s="300">
        <f t="shared" si="440"/>
        <v>0</v>
      </c>
      <c r="N189" s="300">
        <f t="shared" si="440"/>
        <v>0</v>
      </c>
      <c r="O189" s="300">
        <f t="shared" si="440"/>
        <v>0</v>
      </c>
      <c r="P189" s="300">
        <f t="shared" si="440"/>
        <v>0</v>
      </c>
      <c r="Q189" s="300">
        <f t="shared" si="440"/>
        <v>0</v>
      </c>
      <c r="R189" s="300">
        <f t="shared" si="440"/>
        <v>0</v>
      </c>
      <c r="S189" s="300">
        <f t="shared" si="440"/>
        <v>0</v>
      </c>
      <c r="T189" s="300">
        <f t="shared" si="440"/>
        <v>0</v>
      </c>
      <c r="U189" s="300">
        <f t="shared" si="440"/>
        <v>0</v>
      </c>
      <c r="V189" s="300">
        <f t="shared" si="440"/>
        <v>0</v>
      </c>
      <c r="W189" s="300">
        <f t="shared" si="440"/>
        <v>0</v>
      </c>
      <c r="X189" s="300">
        <f t="shared" si="440"/>
        <v>0</v>
      </c>
      <c r="Y189" s="300">
        <f t="shared" si="440"/>
        <v>0</v>
      </c>
      <c r="Z189" s="300">
        <f t="shared" si="440"/>
        <v>0</v>
      </c>
      <c r="AA189" s="300">
        <f t="shared" si="440"/>
        <v>0</v>
      </c>
      <c r="AB189" s="300">
        <f t="shared" si="440"/>
        <v>0</v>
      </c>
      <c r="AC189" s="300">
        <f t="shared" si="440"/>
        <v>0</v>
      </c>
      <c r="AD189" s="300">
        <f t="shared" si="440"/>
        <v>0</v>
      </c>
      <c r="AE189" s="300">
        <f t="shared" si="440"/>
        <v>0</v>
      </c>
    </row>
    <row r="190" spans="1:31" s="72" customFormat="1" x14ac:dyDescent="0.2">
      <c r="A190" s="305"/>
      <c r="B190" s="300"/>
      <c r="C190" s="300"/>
      <c r="D190" s="300"/>
      <c r="E190" s="300"/>
      <c r="F190" s="300"/>
      <c r="G190" s="300"/>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row>
    <row r="191" spans="1:31" s="72" customFormat="1" x14ac:dyDescent="0.2"/>
    <row r="192" spans="1:31" s="72" customFormat="1" ht="15" x14ac:dyDescent="0.25">
      <c r="A192" s="298" t="str">
        <f>assumptions!A32</f>
        <v>VHCB Feasibility</v>
      </c>
    </row>
    <row r="193" spans="1:31" s="72" customFormat="1" x14ac:dyDescent="0.2"/>
    <row r="194" spans="1:31" s="72" customFormat="1" x14ac:dyDescent="0.2">
      <c r="A194" s="301" t="s">
        <v>413</v>
      </c>
      <c r="B194" s="300">
        <f>assumptions!B32</f>
        <v>0</v>
      </c>
    </row>
    <row r="195" spans="1:31" s="72" customFormat="1" x14ac:dyDescent="0.2">
      <c r="A195" s="301" t="s">
        <v>414</v>
      </c>
      <c r="B195" s="306">
        <f>assumptions!D32</f>
        <v>0</v>
      </c>
    </row>
    <row r="196" spans="1:31" s="72" customFormat="1" x14ac:dyDescent="0.2">
      <c r="A196" s="301" t="s">
        <v>415</v>
      </c>
      <c r="B196" s="300">
        <f>assumptions!E32</f>
        <v>0</v>
      </c>
    </row>
    <row r="197" spans="1:31" s="72" customFormat="1" x14ac:dyDescent="0.2">
      <c r="A197" s="301" t="s">
        <v>416</v>
      </c>
      <c r="B197" s="332">
        <f>IF(assumptions!F32="deferred",0,assumptions!F32)</f>
        <v>0</v>
      </c>
    </row>
    <row r="198" spans="1:31" s="72" customFormat="1" x14ac:dyDescent="0.2">
      <c r="A198" s="301" t="s">
        <v>417</v>
      </c>
      <c r="B198" s="1">
        <f>B194*(B195/12)</f>
        <v>0</v>
      </c>
    </row>
    <row r="199" spans="1:31" s="72" customFormat="1" x14ac:dyDescent="0.2">
      <c r="A199" s="301" t="s">
        <v>418</v>
      </c>
      <c r="B199" s="72">
        <f>B198*12</f>
        <v>0</v>
      </c>
    </row>
    <row r="200" spans="1:31" s="72" customFormat="1" x14ac:dyDescent="0.2"/>
    <row r="201" spans="1:31" s="72" customFormat="1" x14ac:dyDescent="0.2">
      <c r="A201" s="302" t="s">
        <v>419</v>
      </c>
      <c r="B201" s="303">
        <v>1</v>
      </c>
      <c r="C201" s="303">
        <f t="shared" ref="C201:AE201" si="441">B201+1</f>
        <v>2</v>
      </c>
      <c r="D201" s="303">
        <f t="shared" si="441"/>
        <v>3</v>
      </c>
      <c r="E201" s="303">
        <f t="shared" si="441"/>
        <v>4</v>
      </c>
      <c r="F201" s="303">
        <f t="shared" si="441"/>
        <v>5</v>
      </c>
      <c r="G201" s="303">
        <f t="shared" si="441"/>
        <v>6</v>
      </c>
      <c r="H201" s="303">
        <f t="shared" si="441"/>
        <v>7</v>
      </c>
      <c r="I201" s="303">
        <f t="shared" si="441"/>
        <v>8</v>
      </c>
      <c r="J201" s="303">
        <f t="shared" si="441"/>
        <v>9</v>
      </c>
      <c r="K201" s="303">
        <f t="shared" si="441"/>
        <v>10</v>
      </c>
      <c r="L201" s="303">
        <f t="shared" si="441"/>
        <v>11</v>
      </c>
      <c r="M201" s="303">
        <f t="shared" si="441"/>
        <v>12</v>
      </c>
      <c r="N201" s="303">
        <f t="shared" si="441"/>
        <v>13</v>
      </c>
      <c r="O201" s="303">
        <f t="shared" si="441"/>
        <v>14</v>
      </c>
      <c r="P201" s="303">
        <f t="shared" si="441"/>
        <v>15</v>
      </c>
      <c r="Q201" s="303">
        <f t="shared" si="441"/>
        <v>16</v>
      </c>
      <c r="R201" s="303">
        <f t="shared" si="441"/>
        <v>17</v>
      </c>
      <c r="S201" s="303">
        <f t="shared" si="441"/>
        <v>18</v>
      </c>
      <c r="T201" s="303">
        <f t="shared" si="441"/>
        <v>19</v>
      </c>
      <c r="U201" s="303">
        <f t="shared" si="441"/>
        <v>20</v>
      </c>
      <c r="V201" s="303">
        <f t="shared" si="441"/>
        <v>21</v>
      </c>
      <c r="W201" s="303">
        <f t="shared" si="441"/>
        <v>22</v>
      </c>
      <c r="X201" s="303">
        <f t="shared" si="441"/>
        <v>23</v>
      </c>
      <c r="Y201" s="303">
        <f t="shared" si="441"/>
        <v>24</v>
      </c>
      <c r="Z201" s="303">
        <f t="shared" si="441"/>
        <v>25</v>
      </c>
      <c r="AA201" s="303">
        <f t="shared" si="441"/>
        <v>26</v>
      </c>
      <c r="AB201" s="303">
        <f t="shared" si="441"/>
        <v>27</v>
      </c>
      <c r="AC201" s="303">
        <f t="shared" si="441"/>
        <v>28</v>
      </c>
      <c r="AD201" s="303">
        <f t="shared" si="441"/>
        <v>29</v>
      </c>
      <c r="AE201" s="303">
        <f t="shared" si="441"/>
        <v>30</v>
      </c>
    </row>
    <row r="202" spans="1:31" s="72" customFormat="1" x14ac:dyDescent="0.2">
      <c r="A202" s="73" t="s">
        <v>420</v>
      </c>
      <c r="B202" s="300">
        <f>B194</f>
        <v>0</v>
      </c>
      <c r="C202" s="300">
        <f>B203</f>
        <v>0</v>
      </c>
      <c r="D202" s="300">
        <f t="shared" ref="D202:AE202" si="442">C203</f>
        <v>0</v>
      </c>
      <c r="E202" s="300">
        <f t="shared" si="442"/>
        <v>0</v>
      </c>
      <c r="F202" s="300">
        <f t="shared" si="442"/>
        <v>0</v>
      </c>
      <c r="G202" s="300">
        <f t="shared" si="442"/>
        <v>0</v>
      </c>
      <c r="H202" s="300">
        <f t="shared" si="442"/>
        <v>0</v>
      </c>
      <c r="I202" s="300">
        <f t="shared" si="442"/>
        <v>0</v>
      </c>
      <c r="J202" s="300">
        <f t="shared" si="442"/>
        <v>0</v>
      </c>
      <c r="K202" s="300">
        <f t="shared" si="442"/>
        <v>0</v>
      </c>
      <c r="L202" s="300">
        <f t="shared" si="442"/>
        <v>0</v>
      </c>
      <c r="M202" s="300">
        <f t="shared" si="442"/>
        <v>0</v>
      </c>
      <c r="N202" s="300">
        <f t="shared" si="442"/>
        <v>0</v>
      </c>
      <c r="O202" s="300">
        <f t="shared" si="442"/>
        <v>0</v>
      </c>
      <c r="P202" s="300">
        <f t="shared" si="442"/>
        <v>0</v>
      </c>
      <c r="Q202" s="300">
        <f t="shared" si="442"/>
        <v>0</v>
      </c>
      <c r="R202" s="300">
        <f t="shared" si="442"/>
        <v>0</v>
      </c>
      <c r="S202" s="300">
        <f t="shared" si="442"/>
        <v>0</v>
      </c>
      <c r="T202" s="300">
        <f t="shared" si="442"/>
        <v>0</v>
      </c>
      <c r="U202" s="300">
        <f t="shared" si="442"/>
        <v>0</v>
      </c>
      <c r="V202" s="300">
        <f t="shared" si="442"/>
        <v>0</v>
      </c>
      <c r="W202" s="300">
        <f t="shared" si="442"/>
        <v>0</v>
      </c>
      <c r="X202" s="300">
        <f t="shared" si="442"/>
        <v>0</v>
      </c>
      <c r="Y202" s="300">
        <f t="shared" si="442"/>
        <v>0</v>
      </c>
      <c r="Z202" s="300">
        <f t="shared" si="442"/>
        <v>0</v>
      </c>
      <c r="AA202" s="300">
        <f t="shared" si="442"/>
        <v>0</v>
      </c>
      <c r="AB202" s="300">
        <f t="shared" si="442"/>
        <v>0</v>
      </c>
      <c r="AC202" s="300">
        <f t="shared" si="442"/>
        <v>0</v>
      </c>
      <c r="AD202" s="300">
        <f t="shared" si="442"/>
        <v>0</v>
      </c>
      <c r="AE202" s="300">
        <f t="shared" si="442"/>
        <v>0</v>
      </c>
    </row>
    <row r="203" spans="1:31" s="72" customFormat="1" x14ac:dyDescent="0.2">
      <c r="A203" s="73" t="s">
        <v>421</v>
      </c>
      <c r="B203" s="300">
        <f>B202+B205</f>
        <v>0</v>
      </c>
      <c r="C203" s="300">
        <f>C202+C205</f>
        <v>0</v>
      </c>
      <c r="D203" s="300">
        <f>D202+D205</f>
        <v>0</v>
      </c>
      <c r="E203" s="300">
        <f>E202+E205</f>
        <v>0</v>
      </c>
      <c r="F203" s="300">
        <f t="shared" ref="F203:AE203" si="443">F202+F205</f>
        <v>0</v>
      </c>
      <c r="G203" s="300">
        <f t="shared" si="443"/>
        <v>0</v>
      </c>
      <c r="H203" s="300">
        <f t="shared" si="443"/>
        <v>0</v>
      </c>
      <c r="I203" s="300">
        <f t="shared" si="443"/>
        <v>0</v>
      </c>
      <c r="J203" s="300">
        <f t="shared" si="443"/>
        <v>0</v>
      </c>
      <c r="K203" s="300">
        <f t="shared" si="443"/>
        <v>0</v>
      </c>
      <c r="L203" s="300">
        <f t="shared" si="443"/>
        <v>0</v>
      </c>
      <c r="M203" s="300">
        <f t="shared" si="443"/>
        <v>0</v>
      </c>
      <c r="N203" s="300">
        <f t="shared" si="443"/>
        <v>0</v>
      </c>
      <c r="O203" s="300">
        <f t="shared" si="443"/>
        <v>0</v>
      </c>
      <c r="P203" s="300">
        <f t="shared" si="443"/>
        <v>0</v>
      </c>
      <c r="Q203" s="300">
        <f t="shared" si="443"/>
        <v>0</v>
      </c>
      <c r="R203" s="300">
        <f t="shared" si="443"/>
        <v>0</v>
      </c>
      <c r="S203" s="300">
        <f t="shared" si="443"/>
        <v>0</v>
      </c>
      <c r="T203" s="300">
        <f t="shared" si="443"/>
        <v>0</v>
      </c>
      <c r="U203" s="300">
        <f t="shared" si="443"/>
        <v>0</v>
      </c>
      <c r="V203" s="300">
        <f t="shared" si="443"/>
        <v>0</v>
      </c>
      <c r="W203" s="300">
        <f t="shared" si="443"/>
        <v>0</v>
      </c>
      <c r="X203" s="300">
        <f t="shared" si="443"/>
        <v>0</v>
      </c>
      <c r="Y203" s="300">
        <f t="shared" si="443"/>
        <v>0</v>
      </c>
      <c r="Z203" s="300">
        <f t="shared" si="443"/>
        <v>0</v>
      </c>
      <c r="AA203" s="300">
        <f t="shared" si="443"/>
        <v>0</v>
      </c>
      <c r="AB203" s="300">
        <f t="shared" si="443"/>
        <v>0</v>
      </c>
      <c r="AC203" s="300">
        <f t="shared" si="443"/>
        <v>0</v>
      </c>
      <c r="AD203" s="300">
        <f t="shared" si="443"/>
        <v>0</v>
      </c>
      <c r="AE203" s="300">
        <f t="shared" si="443"/>
        <v>0</v>
      </c>
    </row>
    <row r="204" spans="1:31" s="72" customFormat="1" x14ac:dyDescent="0.2">
      <c r="A204" s="73" t="s">
        <v>413</v>
      </c>
      <c r="B204" s="1">
        <f>IF($B197=B201,B202,0)</f>
        <v>0</v>
      </c>
      <c r="C204" s="1">
        <f t="shared" ref="C204:AE204" si="444">IF($B197=C201,C202,0)</f>
        <v>0</v>
      </c>
      <c r="D204" s="1">
        <f t="shared" si="444"/>
        <v>0</v>
      </c>
      <c r="E204" s="1">
        <f t="shared" si="444"/>
        <v>0</v>
      </c>
      <c r="F204" s="1">
        <f t="shared" si="444"/>
        <v>0</v>
      </c>
      <c r="G204" s="1">
        <f t="shared" si="444"/>
        <v>0</v>
      </c>
      <c r="H204" s="1">
        <f t="shared" si="444"/>
        <v>0</v>
      </c>
      <c r="I204" s="1">
        <f t="shared" si="444"/>
        <v>0</v>
      </c>
      <c r="J204" s="1">
        <f t="shared" si="444"/>
        <v>0</v>
      </c>
      <c r="K204" s="1">
        <f t="shared" si="444"/>
        <v>0</v>
      </c>
      <c r="L204" s="1">
        <f t="shared" si="444"/>
        <v>0</v>
      </c>
      <c r="M204" s="1">
        <f t="shared" si="444"/>
        <v>0</v>
      </c>
      <c r="N204" s="1">
        <f t="shared" si="444"/>
        <v>0</v>
      </c>
      <c r="O204" s="1">
        <f t="shared" si="444"/>
        <v>0</v>
      </c>
      <c r="P204" s="1">
        <f t="shared" si="444"/>
        <v>0</v>
      </c>
      <c r="Q204" s="1">
        <f t="shared" si="444"/>
        <v>0</v>
      </c>
      <c r="R204" s="1">
        <f t="shared" si="444"/>
        <v>0</v>
      </c>
      <c r="S204" s="1">
        <f t="shared" si="444"/>
        <v>0</v>
      </c>
      <c r="T204" s="1">
        <f t="shared" si="444"/>
        <v>0</v>
      </c>
      <c r="U204" s="1">
        <f t="shared" si="444"/>
        <v>0</v>
      </c>
      <c r="V204" s="1">
        <f t="shared" si="444"/>
        <v>0</v>
      </c>
      <c r="W204" s="1">
        <f t="shared" si="444"/>
        <v>0</v>
      </c>
      <c r="X204" s="1">
        <f t="shared" si="444"/>
        <v>0</v>
      </c>
      <c r="Y204" s="1">
        <f t="shared" si="444"/>
        <v>0</v>
      </c>
      <c r="Z204" s="1">
        <f t="shared" si="444"/>
        <v>0</v>
      </c>
      <c r="AA204" s="1">
        <f t="shared" si="444"/>
        <v>0</v>
      </c>
      <c r="AB204" s="1">
        <f t="shared" si="444"/>
        <v>0</v>
      </c>
      <c r="AC204" s="1">
        <f t="shared" si="444"/>
        <v>0</v>
      </c>
      <c r="AD204" s="1">
        <f t="shared" si="444"/>
        <v>0</v>
      </c>
      <c r="AE204" s="1">
        <f t="shared" si="444"/>
        <v>0</v>
      </c>
    </row>
    <row r="205" spans="1:31" s="72" customFormat="1" x14ac:dyDescent="0.2">
      <c r="A205" s="305" t="s">
        <v>414</v>
      </c>
      <c r="B205" s="300">
        <f>B202*$B$195</f>
        <v>0</v>
      </c>
      <c r="C205" s="300">
        <f>C202*$B$195</f>
        <v>0</v>
      </c>
      <c r="D205" s="300">
        <f>D202*$B$195</f>
        <v>0</v>
      </c>
      <c r="E205" s="300">
        <f>E202*$B$195</f>
        <v>0</v>
      </c>
      <c r="F205" s="300">
        <f t="shared" ref="F205:AD205" si="445">F202*$B$195</f>
        <v>0</v>
      </c>
      <c r="G205" s="300">
        <f t="shared" si="445"/>
        <v>0</v>
      </c>
      <c r="H205" s="300">
        <f t="shared" si="445"/>
        <v>0</v>
      </c>
      <c r="I205" s="300">
        <f t="shared" si="445"/>
        <v>0</v>
      </c>
      <c r="J205" s="300">
        <f t="shared" si="445"/>
        <v>0</v>
      </c>
      <c r="K205" s="300">
        <f t="shared" si="445"/>
        <v>0</v>
      </c>
      <c r="L205" s="300">
        <f t="shared" si="445"/>
        <v>0</v>
      </c>
      <c r="M205" s="300">
        <f t="shared" si="445"/>
        <v>0</v>
      </c>
      <c r="N205" s="300">
        <f t="shared" si="445"/>
        <v>0</v>
      </c>
      <c r="O205" s="300">
        <f t="shared" si="445"/>
        <v>0</v>
      </c>
      <c r="P205" s="300">
        <f t="shared" si="445"/>
        <v>0</v>
      </c>
      <c r="Q205" s="300">
        <f t="shared" si="445"/>
        <v>0</v>
      </c>
      <c r="R205" s="300">
        <f t="shared" si="445"/>
        <v>0</v>
      </c>
      <c r="S205" s="300">
        <f t="shared" si="445"/>
        <v>0</v>
      </c>
      <c r="T205" s="300">
        <f t="shared" si="445"/>
        <v>0</v>
      </c>
      <c r="U205" s="300">
        <f t="shared" si="445"/>
        <v>0</v>
      </c>
      <c r="V205" s="300">
        <f t="shared" si="445"/>
        <v>0</v>
      </c>
      <c r="W205" s="300">
        <f t="shared" si="445"/>
        <v>0</v>
      </c>
      <c r="X205" s="300">
        <f t="shared" si="445"/>
        <v>0</v>
      </c>
      <c r="Y205" s="300">
        <f t="shared" si="445"/>
        <v>0</v>
      </c>
      <c r="Z205" s="300">
        <f t="shared" si="445"/>
        <v>0</v>
      </c>
      <c r="AA205" s="300">
        <f t="shared" si="445"/>
        <v>0</v>
      </c>
      <c r="AB205" s="300">
        <f t="shared" si="445"/>
        <v>0</v>
      </c>
      <c r="AC205" s="300">
        <f t="shared" si="445"/>
        <v>0</v>
      </c>
      <c r="AD205" s="300">
        <f t="shared" si="445"/>
        <v>0</v>
      </c>
      <c r="AE205" s="300">
        <f>AE202*$B$195</f>
        <v>0</v>
      </c>
    </row>
    <row r="206" spans="1:31" s="72" customFormat="1" x14ac:dyDescent="0.2">
      <c r="A206" s="305" t="s">
        <v>422</v>
      </c>
      <c r="B206" s="300">
        <f>B204+B205</f>
        <v>0</v>
      </c>
      <c r="C206" s="300">
        <f>C204+C205</f>
        <v>0</v>
      </c>
      <c r="D206" s="300">
        <f t="shared" ref="D206:AE206" si="446">D204+D205</f>
        <v>0</v>
      </c>
      <c r="E206" s="300">
        <f>E204+E205</f>
        <v>0</v>
      </c>
      <c r="F206" s="300">
        <f t="shared" si="446"/>
        <v>0</v>
      </c>
      <c r="G206" s="300">
        <f t="shared" si="446"/>
        <v>0</v>
      </c>
      <c r="H206" s="300">
        <f t="shared" si="446"/>
        <v>0</v>
      </c>
      <c r="I206" s="300">
        <f t="shared" si="446"/>
        <v>0</v>
      </c>
      <c r="J206" s="300">
        <f t="shared" si="446"/>
        <v>0</v>
      </c>
      <c r="K206" s="300">
        <f t="shared" si="446"/>
        <v>0</v>
      </c>
      <c r="L206" s="300">
        <f t="shared" si="446"/>
        <v>0</v>
      </c>
      <c r="M206" s="300">
        <f t="shared" si="446"/>
        <v>0</v>
      </c>
      <c r="N206" s="300">
        <f t="shared" si="446"/>
        <v>0</v>
      </c>
      <c r="O206" s="300">
        <f t="shared" si="446"/>
        <v>0</v>
      </c>
      <c r="P206" s="300">
        <f t="shared" si="446"/>
        <v>0</v>
      </c>
      <c r="Q206" s="300">
        <f t="shared" si="446"/>
        <v>0</v>
      </c>
      <c r="R206" s="300">
        <f t="shared" si="446"/>
        <v>0</v>
      </c>
      <c r="S206" s="300">
        <f t="shared" si="446"/>
        <v>0</v>
      </c>
      <c r="T206" s="300">
        <f t="shared" si="446"/>
        <v>0</v>
      </c>
      <c r="U206" s="300">
        <f t="shared" si="446"/>
        <v>0</v>
      </c>
      <c r="V206" s="300">
        <f t="shared" si="446"/>
        <v>0</v>
      </c>
      <c r="W206" s="300">
        <f t="shared" si="446"/>
        <v>0</v>
      </c>
      <c r="X206" s="300">
        <f t="shared" si="446"/>
        <v>0</v>
      </c>
      <c r="Y206" s="300">
        <f t="shared" si="446"/>
        <v>0</v>
      </c>
      <c r="Z206" s="300">
        <f t="shared" si="446"/>
        <v>0</v>
      </c>
      <c r="AA206" s="300">
        <f t="shared" si="446"/>
        <v>0</v>
      </c>
      <c r="AB206" s="300">
        <f t="shared" si="446"/>
        <v>0</v>
      </c>
      <c r="AC206" s="300">
        <f t="shared" si="446"/>
        <v>0</v>
      </c>
      <c r="AD206" s="300">
        <f t="shared" si="446"/>
        <v>0</v>
      </c>
      <c r="AE206" s="300">
        <f t="shared" si="446"/>
        <v>0</v>
      </c>
    </row>
    <row r="207" spans="1:31" s="72" customFormat="1" x14ac:dyDescent="0.2">
      <c r="A207" s="305"/>
      <c r="B207" s="300"/>
      <c r="C207" s="300"/>
      <c r="D207" s="300"/>
      <c r="E207" s="300"/>
      <c r="F207" s="300"/>
      <c r="G207" s="300"/>
      <c r="H207" s="300"/>
      <c r="I207" s="300"/>
      <c r="J207" s="300"/>
      <c r="K207" s="300"/>
      <c r="L207" s="300"/>
      <c r="M207" s="300"/>
      <c r="N207" s="300"/>
      <c r="O207" s="300"/>
      <c r="P207" s="300"/>
      <c r="Q207" s="300"/>
      <c r="R207" s="300"/>
      <c r="S207" s="300"/>
      <c r="T207" s="300"/>
      <c r="U207" s="300"/>
      <c r="V207" s="300"/>
      <c r="W207" s="300"/>
      <c r="X207" s="300"/>
      <c r="Y207" s="300"/>
      <c r="Z207" s="300"/>
      <c r="AA207" s="300"/>
      <c r="AB207" s="300"/>
      <c r="AC207" s="300"/>
      <c r="AD207" s="300"/>
      <c r="AE207" s="300"/>
    </row>
    <row r="208" spans="1:31" s="72" customFormat="1" x14ac:dyDescent="0.2"/>
    <row r="209" spans="1:31" s="72" customFormat="1" ht="15" x14ac:dyDescent="0.25">
      <c r="A209" s="298" t="str">
        <f>assumptions!A33</f>
        <v>Energy Incentives</v>
      </c>
    </row>
    <row r="210" spans="1:31" s="72" customFormat="1" x14ac:dyDescent="0.2"/>
    <row r="211" spans="1:31" s="72" customFormat="1" x14ac:dyDescent="0.2">
      <c r="A211" s="301" t="s">
        <v>413</v>
      </c>
      <c r="B211" s="300">
        <f>assumptions!B33</f>
        <v>0</v>
      </c>
    </row>
    <row r="212" spans="1:31" s="72" customFormat="1" x14ac:dyDescent="0.2">
      <c r="A212" s="301" t="s">
        <v>414</v>
      </c>
      <c r="B212" s="306">
        <f>assumptions!D33</f>
        <v>0</v>
      </c>
    </row>
    <row r="213" spans="1:31" s="72" customFormat="1" x14ac:dyDescent="0.2">
      <c r="A213" s="301" t="s">
        <v>415</v>
      </c>
      <c r="B213" s="300">
        <f>assumptions!E33</f>
        <v>0</v>
      </c>
    </row>
    <row r="214" spans="1:31" s="72" customFormat="1" x14ac:dyDescent="0.2">
      <c r="A214" s="301" t="s">
        <v>416</v>
      </c>
      <c r="B214" s="332">
        <f>IF(assumptions!F33="deferred",0,assumptions!F33)</f>
        <v>0</v>
      </c>
    </row>
    <row r="215" spans="1:31" s="72" customFormat="1" x14ac:dyDescent="0.2">
      <c r="A215" s="301" t="s">
        <v>417</v>
      </c>
      <c r="B215" s="1">
        <f>B211*(B212/12)</f>
        <v>0</v>
      </c>
    </row>
    <row r="216" spans="1:31" s="72" customFormat="1" x14ac:dyDescent="0.2">
      <c r="A216" s="301" t="s">
        <v>418</v>
      </c>
      <c r="B216" s="72">
        <f>B215*12</f>
        <v>0</v>
      </c>
    </row>
    <row r="217" spans="1:31" s="72" customFormat="1" x14ac:dyDescent="0.2"/>
    <row r="218" spans="1:31" s="72" customFormat="1" x14ac:dyDescent="0.2"/>
    <row r="219" spans="1:31" s="72" customFormat="1" x14ac:dyDescent="0.2">
      <c r="A219" s="302" t="s">
        <v>419</v>
      </c>
      <c r="B219" s="303">
        <v>1</v>
      </c>
      <c r="C219" s="303">
        <f t="shared" ref="C219:AE219" si="447">B219+1</f>
        <v>2</v>
      </c>
      <c r="D219" s="303">
        <f t="shared" si="447"/>
        <v>3</v>
      </c>
      <c r="E219" s="303">
        <f t="shared" si="447"/>
        <v>4</v>
      </c>
      <c r="F219" s="303">
        <f t="shared" si="447"/>
        <v>5</v>
      </c>
      <c r="G219" s="303">
        <f t="shared" si="447"/>
        <v>6</v>
      </c>
      <c r="H219" s="303">
        <f t="shared" si="447"/>
        <v>7</v>
      </c>
      <c r="I219" s="303">
        <f t="shared" si="447"/>
        <v>8</v>
      </c>
      <c r="J219" s="303">
        <f t="shared" si="447"/>
        <v>9</v>
      </c>
      <c r="K219" s="303">
        <f t="shared" si="447"/>
        <v>10</v>
      </c>
      <c r="L219" s="303">
        <f t="shared" si="447"/>
        <v>11</v>
      </c>
      <c r="M219" s="303">
        <f t="shared" si="447"/>
        <v>12</v>
      </c>
      <c r="N219" s="303">
        <f t="shared" si="447"/>
        <v>13</v>
      </c>
      <c r="O219" s="303">
        <f t="shared" si="447"/>
        <v>14</v>
      </c>
      <c r="P219" s="303">
        <f t="shared" si="447"/>
        <v>15</v>
      </c>
      <c r="Q219" s="303">
        <f t="shared" si="447"/>
        <v>16</v>
      </c>
      <c r="R219" s="303">
        <f t="shared" si="447"/>
        <v>17</v>
      </c>
      <c r="S219" s="303">
        <f t="shared" si="447"/>
        <v>18</v>
      </c>
      <c r="T219" s="303">
        <f t="shared" si="447"/>
        <v>19</v>
      </c>
      <c r="U219" s="303">
        <f t="shared" si="447"/>
        <v>20</v>
      </c>
      <c r="V219" s="303">
        <f t="shared" si="447"/>
        <v>21</v>
      </c>
      <c r="W219" s="303">
        <f t="shared" si="447"/>
        <v>22</v>
      </c>
      <c r="X219" s="303">
        <f t="shared" si="447"/>
        <v>23</v>
      </c>
      <c r="Y219" s="303">
        <f t="shared" si="447"/>
        <v>24</v>
      </c>
      <c r="Z219" s="303">
        <f t="shared" si="447"/>
        <v>25</v>
      </c>
      <c r="AA219" s="303">
        <f t="shared" si="447"/>
        <v>26</v>
      </c>
      <c r="AB219" s="303">
        <f t="shared" si="447"/>
        <v>27</v>
      </c>
      <c r="AC219" s="303">
        <f t="shared" si="447"/>
        <v>28</v>
      </c>
      <c r="AD219" s="303">
        <f t="shared" si="447"/>
        <v>29</v>
      </c>
      <c r="AE219" s="303">
        <f t="shared" si="447"/>
        <v>30</v>
      </c>
    </row>
    <row r="220" spans="1:31" s="72" customFormat="1" x14ac:dyDescent="0.2">
      <c r="A220" s="73" t="s">
        <v>420</v>
      </c>
      <c r="B220" s="300">
        <f>B211</f>
        <v>0</v>
      </c>
      <c r="C220" s="300">
        <f t="shared" ref="C220:AE220" si="448">B221</f>
        <v>0</v>
      </c>
      <c r="D220" s="300">
        <f t="shared" si="448"/>
        <v>0</v>
      </c>
      <c r="E220" s="300">
        <f t="shared" si="448"/>
        <v>0</v>
      </c>
      <c r="F220" s="300">
        <f t="shared" si="448"/>
        <v>0</v>
      </c>
      <c r="G220" s="300">
        <f t="shared" si="448"/>
        <v>0</v>
      </c>
      <c r="H220" s="300">
        <f t="shared" si="448"/>
        <v>0</v>
      </c>
      <c r="I220" s="300">
        <f t="shared" si="448"/>
        <v>0</v>
      </c>
      <c r="J220" s="300">
        <f t="shared" si="448"/>
        <v>0</v>
      </c>
      <c r="K220" s="300">
        <f t="shared" si="448"/>
        <v>0</v>
      </c>
      <c r="L220" s="300">
        <f t="shared" si="448"/>
        <v>0</v>
      </c>
      <c r="M220" s="300">
        <f t="shared" si="448"/>
        <v>0</v>
      </c>
      <c r="N220" s="300">
        <f t="shared" si="448"/>
        <v>0</v>
      </c>
      <c r="O220" s="300">
        <f t="shared" si="448"/>
        <v>0</v>
      </c>
      <c r="P220" s="300">
        <f t="shared" si="448"/>
        <v>0</v>
      </c>
      <c r="Q220" s="300">
        <f t="shared" si="448"/>
        <v>0</v>
      </c>
      <c r="R220" s="300">
        <f t="shared" si="448"/>
        <v>0</v>
      </c>
      <c r="S220" s="300">
        <f t="shared" si="448"/>
        <v>0</v>
      </c>
      <c r="T220" s="300">
        <f t="shared" si="448"/>
        <v>0</v>
      </c>
      <c r="U220" s="300">
        <f t="shared" si="448"/>
        <v>0</v>
      </c>
      <c r="V220" s="300">
        <f t="shared" si="448"/>
        <v>0</v>
      </c>
      <c r="W220" s="300">
        <f t="shared" si="448"/>
        <v>0</v>
      </c>
      <c r="X220" s="300">
        <f t="shared" si="448"/>
        <v>0</v>
      </c>
      <c r="Y220" s="300">
        <f t="shared" si="448"/>
        <v>0</v>
      </c>
      <c r="Z220" s="300">
        <f t="shared" si="448"/>
        <v>0</v>
      </c>
      <c r="AA220" s="300">
        <f t="shared" si="448"/>
        <v>0</v>
      </c>
      <c r="AB220" s="300">
        <f t="shared" si="448"/>
        <v>0</v>
      </c>
      <c r="AC220" s="300">
        <f t="shared" si="448"/>
        <v>0</v>
      </c>
      <c r="AD220" s="300">
        <f t="shared" si="448"/>
        <v>0</v>
      </c>
      <c r="AE220" s="300">
        <f t="shared" si="448"/>
        <v>0</v>
      </c>
    </row>
    <row r="221" spans="1:31" s="72" customFormat="1" x14ac:dyDescent="0.2">
      <c r="A221" s="73" t="s">
        <v>421</v>
      </c>
      <c r="B221" s="300">
        <f>B220+B223</f>
        <v>0</v>
      </c>
      <c r="C221" s="300">
        <f t="shared" ref="C221:AE221" si="449">C220+C223</f>
        <v>0</v>
      </c>
      <c r="D221" s="300">
        <f t="shared" si="449"/>
        <v>0</v>
      </c>
      <c r="E221" s="300">
        <f t="shared" si="449"/>
        <v>0</v>
      </c>
      <c r="F221" s="300">
        <f t="shared" si="449"/>
        <v>0</v>
      </c>
      <c r="G221" s="300">
        <f t="shared" si="449"/>
        <v>0</v>
      </c>
      <c r="H221" s="300">
        <f t="shared" si="449"/>
        <v>0</v>
      </c>
      <c r="I221" s="300">
        <f t="shared" si="449"/>
        <v>0</v>
      </c>
      <c r="J221" s="300">
        <f t="shared" si="449"/>
        <v>0</v>
      </c>
      <c r="K221" s="300">
        <f t="shared" si="449"/>
        <v>0</v>
      </c>
      <c r="L221" s="300">
        <f t="shared" si="449"/>
        <v>0</v>
      </c>
      <c r="M221" s="300">
        <f t="shared" si="449"/>
        <v>0</v>
      </c>
      <c r="N221" s="300">
        <f t="shared" si="449"/>
        <v>0</v>
      </c>
      <c r="O221" s="300">
        <f t="shared" si="449"/>
        <v>0</v>
      </c>
      <c r="P221" s="300">
        <f t="shared" si="449"/>
        <v>0</v>
      </c>
      <c r="Q221" s="300">
        <f t="shared" si="449"/>
        <v>0</v>
      </c>
      <c r="R221" s="300">
        <f t="shared" si="449"/>
        <v>0</v>
      </c>
      <c r="S221" s="300">
        <f t="shared" si="449"/>
        <v>0</v>
      </c>
      <c r="T221" s="300">
        <f t="shared" si="449"/>
        <v>0</v>
      </c>
      <c r="U221" s="300">
        <f t="shared" si="449"/>
        <v>0</v>
      </c>
      <c r="V221" s="300">
        <f t="shared" si="449"/>
        <v>0</v>
      </c>
      <c r="W221" s="300">
        <f t="shared" si="449"/>
        <v>0</v>
      </c>
      <c r="X221" s="300">
        <f t="shared" si="449"/>
        <v>0</v>
      </c>
      <c r="Y221" s="300">
        <f t="shared" si="449"/>
        <v>0</v>
      </c>
      <c r="Z221" s="300">
        <f t="shared" si="449"/>
        <v>0</v>
      </c>
      <c r="AA221" s="300">
        <f t="shared" si="449"/>
        <v>0</v>
      </c>
      <c r="AB221" s="300">
        <f t="shared" si="449"/>
        <v>0</v>
      </c>
      <c r="AC221" s="300">
        <f t="shared" si="449"/>
        <v>0</v>
      </c>
      <c r="AD221" s="300">
        <f t="shared" si="449"/>
        <v>0</v>
      </c>
      <c r="AE221" s="300">
        <f t="shared" si="449"/>
        <v>0</v>
      </c>
    </row>
    <row r="222" spans="1:31" s="72" customFormat="1" x14ac:dyDescent="0.2">
      <c r="A222" s="73" t="s">
        <v>413</v>
      </c>
      <c r="B222" s="1">
        <f>IF($B214=B219,B220,0)</f>
        <v>0</v>
      </c>
      <c r="C222" s="1">
        <f t="shared" ref="C222:AE222" si="450">IF($B214=C219,C220,0)</f>
        <v>0</v>
      </c>
      <c r="D222" s="1">
        <f t="shared" si="450"/>
        <v>0</v>
      </c>
      <c r="E222" s="1">
        <f t="shared" si="450"/>
        <v>0</v>
      </c>
      <c r="F222" s="1">
        <f t="shared" si="450"/>
        <v>0</v>
      </c>
      <c r="G222" s="1">
        <f t="shared" si="450"/>
        <v>0</v>
      </c>
      <c r="H222" s="1">
        <f t="shared" si="450"/>
        <v>0</v>
      </c>
      <c r="I222" s="1">
        <f t="shared" si="450"/>
        <v>0</v>
      </c>
      <c r="J222" s="1">
        <f t="shared" si="450"/>
        <v>0</v>
      </c>
      <c r="K222" s="1">
        <f t="shared" si="450"/>
        <v>0</v>
      </c>
      <c r="L222" s="1">
        <f t="shared" si="450"/>
        <v>0</v>
      </c>
      <c r="M222" s="1">
        <f t="shared" si="450"/>
        <v>0</v>
      </c>
      <c r="N222" s="1">
        <f t="shared" si="450"/>
        <v>0</v>
      </c>
      <c r="O222" s="1">
        <f t="shared" si="450"/>
        <v>0</v>
      </c>
      <c r="P222" s="1">
        <f t="shared" si="450"/>
        <v>0</v>
      </c>
      <c r="Q222" s="1">
        <f t="shared" si="450"/>
        <v>0</v>
      </c>
      <c r="R222" s="1">
        <f t="shared" si="450"/>
        <v>0</v>
      </c>
      <c r="S222" s="1">
        <f t="shared" si="450"/>
        <v>0</v>
      </c>
      <c r="T222" s="1">
        <f t="shared" si="450"/>
        <v>0</v>
      </c>
      <c r="U222" s="1">
        <f t="shared" si="450"/>
        <v>0</v>
      </c>
      <c r="V222" s="1">
        <f t="shared" si="450"/>
        <v>0</v>
      </c>
      <c r="W222" s="1">
        <f t="shared" si="450"/>
        <v>0</v>
      </c>
      <c r="X222" s="1">
        <f t="shared" si="450"/>
        <v>0</v>
      </c>
      <c r="Y222" s="1">
        <f t="shared" si="450"/>
        <v>0</v>
      </c>
      <c r="Z222" s="1">
        <f t="shared" si="450"/>
        <v>0</v>
      </c>
      <c r="AA222" s="1">
        <f t="shared" si="450"/>
        <v>0</v>
      </c>
      <c r="AB222" s="1">
        <f t="shared" si="450"/>
        <v>0</v>
      </c>
      <c r="AC222" s="1">
        <f t="shared" si="450"/>
        <v>0</v>
      </c>
      <c r="AD222" s="1">
        <f t="shared" si="450"/>
        <v>0</v>
      </c>
      <c r="AE222" s="1">
        <f t="shared" si="450"/>
        <v>0</v>
      </c>
    </row>
    <row r="223" spans="1:31" s="72" customFormat="1" x14ac:dyDescent="0.2">
      <c r="A223" s="305" t="s">
        <v>414</v>
      </c>
      <c r="B223" s="300">
        <f>B220*$B$142</f>
        <v>0</v>
      </c>
      <c r="C223" s="300">
        <f t="shared" ref="C223:AE223" si="451">C220*$B$142</f>
        <v>0</v>
      </c>
      <c r="D223" s="300">
        <f t="shared" si="451"/>
        <v>0</v>
      </c>
      <c r="E223" s="300">
        <f t="shared" si="451"/>
        <v>0</v>
      </c>
      <c r="F223" s="300">
        <f t="shared" si="451"/>
        <v>0</v>
      </c>
      <c r="G223" s="300">
        <f t="shared" si="451"/>
        <v>0</v>
      </c>
      <c r="H223" s="300">
        <f t="shared" si="451"/>
        <v>0</v>
      </c>
      <c r="I223" s="300">
        <f t="shared" si="451"/>
        <v>0</v>
      </c>
      <c r="J223" s="300">
        <f t="shared" si="451"/>
        <v>0</v>
      </c>
      <c r="K223" s="300">
        <f t="shared" si="451"/>
        <v>0</v>
      </c>
      <c r="L223" s="300">
        <f t="shared" si="451"/>
        <v>0</v>
      </c>
      <c r="M223" s="300">
        <f t="shared" si="451"/>
        <v>0</v>
      </c>
      <c r="N223" s="300">
        <f t="shared" si="451"/>
        <v>0</v>
      </c>
      <c r="O223" s="300">
        <f t="shared" si="451"/>
        <v>0</v>
      </c>
      <c r="P223" s="300">
        <f t="shared" si="451"/>
        <v>0</v>
      </c>
      <c r="Q223" s="300">
        <f t="shared" si="451"/>
        <v>0</v>
      </c>
      <c r="R223" s="300">
        <f t="shared" si="451"/>
        <v>0</v>
      </c>
      <c r="S223" s="300">
        <f t="shared" si="451"/>
        <v>0</v>
      </c>
      <c r="T223" s="300">
        <f t="shared" si="451"/>
        <v>0</v>
      </c>
      <c r="U223" s="300">
        <f t="shared" si="451"/>
        <v>0</v>
      </c>
      <c r="V223" s="300">
        <f t="shared" si="451"/>
        <v>0</v>
      </c>
      <c r="W223" s="300">
        <f t="shared" si="451"/>
        <v>0</v>
      </c>
      <c r="X223" s="300">
        <f t="shared" si="451"/>
        <v>0</v>
      </c>
      <c r="Y223" s="300">
        <f t="shared" si="451"/>
        <v>0</v>
      </c>
      <c r="Z223" s="300">
        <f t="shared" si="451"/>
        <v>0</v>
      </c>
      <c r="AA223" s="300">
        <f t="shared" si="451"/>
        <v>0</v>
      </c>
      <c r="AB223" s="300">
        <f t="shared" si="451"/>
        <v>0</v>
      </c>
      <c r="AC223" s="300">
        <f t="shared" si="451"/>
        <v>0</v>
      </c>
      <c r="AD223" s="300">
        <f t="shared" si="451"/>
        <v>0</v>
      </c>
      <c r="AE223" s="300">
        <f t="shared" si="451"/>
        <v>0</v>
      </c>
    </row>
    <row r="224" spans="1:31" s="72" customFormat="1" x14ac:dyDescent="0.2">
      <c r="A224" s="305" t="s">
        <v>422</v>
      </c>
      <c r="B224" s="300">
        <f>B222+B223</f>
        <v>0</v>
      </c>
      <c r="C224" s="300">
        <f t="shared" ref="C224:AE224" si="452">C222+C223</f>
        <v>0</v>
      </c>
      <c r="D224" s="300">
        <f t="shared" si="452"/>
        <v>0</v>
      </c>
      <c r="E224" s="300">
        <f t="shared" si="452"/>
        <v>0</v>
      </c>
      <c r="F224" s="300">
        <f t="shared" si="452"/>
        <v>0</v>
      </c>
      <c r="G224" s="300">
        <f t="shared" si="452"/>
        <v>0</v>
      </c>
      <c r="H224" s="300">
        <f t="shared" si="452"/>
        <v>0</v>
      </c>
      <c r="I224" s="300">
        <f t="shared" si="452"/>
        <v>0</v>
      </c>
      <c r="J224" s="300">
        <f t="shared" si="452"/>
        <v>0</v>
      </c>
      <c r="K224" s="300">
        <f t="shared" si="452"/>
        <v>0</v>
      </c>
      <c r="L224" s="300">
        <f t="shared" si="452"/>
        <v>0</v>
      </c>
      <c r="M224" s="300">
        <f t="shared" si="452"/>
        <v>0</v>
      </c>
      <c r="N224" s="300">
        <f t="shared" si="452"/>
        <v>0</v>
      </c>
      <c r="O224" s="300">
        <f t="shared" si="452"/>
        <v>0</v>
      </c>
      <c r="P224" s="300">
        <f t="shared" si="452"/>
        <v>0</v>
      </c>
      <c r="Q224" s="300">
        <f t="shared" si="452"/>
        <v>0</v>
      </c>
      <c r="R224" s="300">
        <f t="shared" si="452"/>
        <v>0</v>
      </c>
      <c r="S224" s="300">
        <f t="shared" si="452"/>
        <v>0</v>
      </c>
      <c r="T224" s="300">
        <f t="shared" si="452"/>
        <v>0</v>
      </c>
      <c r="U224" s="300">
        <f t="shared" si="452"/>
        <v>0</v>
      </c>
      <c r="V224" s="300">
        <f t="shared" si="452"/>
        <v>0</v>
      </c>
      <c r="W224" s="300">
        <f t="shared" si="452"/>
        <v>0</v>
      </c>
      <c r="X224" s="300">
        <f t="shared" si="452"/>
        <v>0</v>
      </c>
      <c r="Y224" s="300">
        <f t="shared" si="452"/>
        <v>0</v>
      </c>
      <c r="Z224" s="300">
        <f t="shared" si="452"/>
        <v>0</v>
      </c>
      <c r="AA224" s="300">
        <f t="shared" si="452"/>
        <v>0</v>
      </c>
      <c r="AB224" s="300">
        <f t="shared" si="452"/>
        <v>0</v>
      </c>
      <c r="AC224" s="300">
        <f t="shared" si="452"/>
        <v>0</v>
      </c>
      <c r="AD224" s="300">
        <f t="shared" si="452"/>
        <v>0</v>
      </c>
      <c r="AE224" s="300">
        <f t="shared" si="452"/>
        <v>0</v>
      </c>
    </row>
    <row r="225" spans="1:31" s="72" customFormat="1" x14ac:dyDescent="0.2">
      <c r="A225" s="305"/>
      <c r="B225" s="300"/>
      <c r="C225" s="300"/>
      <c r="D225" s="300"/>
      <c r="E225" s="300"/>
      <c r="F225" s="300"/>
      <c r="G225" s="300"/>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row>
    <row r="226" spans="1:31" s="72" customFormat="1" x14ac:dyDescent="0.2"/>
    <row r="227" spans="1:31" ht="15" x14ac:dyDescent="0.25">
      <c r="A227" s="299" t="str">
        <f>assumptions!A34</f>
        <v>Deferred Developer Fee</v>
      </c>
    </row>
    <row r="229" spans="1:31" x14ac:dyDescent="0.2">
      <c r="A229" s="296" t="s">
        <v>413</v>
      </c>
      <c r="B229" s="1">
        <f>assumptions!B34</f>
        <v>0</v>
      </c>
    </row>
    <row r="230" spans="1:31" x14ac:dyDescent="0.2">
      <c r="A230" s="296" t="s">
        <v>414</v>
      </c>
      <c r="B230" s="5">
        <f>assumptions!D34</f>
        <v>0</v>
      </c>
    </row>
    <row r="231" spans="1:31" x14ac:dyDescent="0.2">
      <c r="A231" s="296" t="s">
        <v>415</v>
      </c>
      <c r="B231" s="1">
        <v>0</v>
      </c>
    </row>
    <row r="232" spans="1:31" x14ac:dyDescent="0.2">
      <c r="A232" s="296" t="s">
        <v>416</v>
      </c>
      <c r="B232" s="1">
        <f>IF(assumptions!F34="deferred",0,assumptions!F34)</f>
        <v>0</v>
      </c>
    </row>
    <row r="233" spans="1:31" x14ac:dyDescent="0.2">
      <c r="A233" s="296" t="s">
        <v>417</v>
      </c>
      <c r="B233" s="1">
        <f>IF(B232=0,0,PMT(B230/12,B231*12,-B229))</f>
        <v>0</v>
      </c>
    </row>
    <row r="234" spans="1:31" x14ac:dyDescent="0.2">
      <c r="A234" s="296" t="s">
        <v>418</v>
      </c>
      <c r="B234" s="1">
        <f>B233*12</f>
        <v>0</v>
      </c>
    </row>
    <row r="236" spans="1:31" x14ac:dyDescent="0.2">
      <c r="A236" s="295" t="s">
        <v>419</v>
      </c>
      <c r="B236" s="294">
        <v>1</v>
      </c>
      <c r="C236" s="294">
        <f t="shared" ref="C236:AE236" si="453">B236+1</f>
        <v>2</v>
      </c>
      <c r="D236" s="294">
        <f t="shared" si="453"/>
        <v>3</v>
      </c>
      <c r="E236" s="294">
        <f t="shared" si="453"/>
        <v>4</v>
      </c>
      <c r="F236" s="294">
        <f t="shared" si="453"/>
        <v>5</v>
      </c>
      <c r="G236" s="294">
        <f t="shared" si="453"/>
        <v>6</v>
      </c>
      <c r="H236" s="294">
        <f t="shared" si="453"/>
        <v>7</v>
      </c>
      <c r="I236" s="294">
        <f t="shared" si="453"/>
        <v>8</v>
      </c>
      <c r="J236" s="294">
        <f t="shared" si="453"/>
        <v>9</v>
      </c>
      <c r="K236" s="294">
        <f t="shared" si="453"/>
        <v>10</v>
      </c>
      <c r="L236" s="294">
        <f t="shared" si="453"/>
        <v>11</v>
      </c>
      <c r="M236" s="294">
        <f t="shared" si="453"/>
        <v>12</v>
      </c>
      <c r="N236" s="294">
        <f t="shared" si="453"/>
        <v>13</v>
      </c>
      <c r="O236" s="294">
        <f t="shared" si="453"/>
        <v>14</v>
      </c>
      <c r="P236" s="294">
        <f t="shared" si="453"/>
        <v>15</v>
      </c>
      <c r="Q236" s="294">
        <f t="shared" si="453"/>
        <v>16</v>
      </c>
      <c r="R236" s="294">
        <f t="shared" si="453"/>
        <v>17</v>
      </c>
      <c r="S236" s="294">
        <f t="shared" si="453"/>
        <v>18</v>
      </c>
      <c r="T236" s="294">
        <f t="shared" si="453"/>
        <v>19</v>
      </c>
      <c r="U236" s="294">
        <f t="shared" si="453"/>
        <v>20</v>
      </c>
      <c r="V236" s="294">
        <f t="shared" si="453"/>
        <v>21</v>
      </c>
      <c r="W236" s="294">
        <f t="shared" si="453"/>
        <v>22</v>
      </c>
      <c r="X236" s="294">
        <f t="shared" si="453"/>
        <v>23</v>
      </c>
      <c r="Y236" s="294">
        <f t="shared" si="453"/>
        <v>24</v>
      </c>
      <c r="Z236" s="294">
        <f t="shared" si="453"/>
        <v>25</v>
      </c>
      <c r="AA236" s="294">
        <f t="shared" si="453"/>
        <v>26</v>
      </c>
      <c r="AB236" s="294">
        <f t="shared" si="453"/>
        <v>27</v>
      </c>
      <c r="AC236" s="294">
        <f t="shared" si="453"/>
        <v>28</v>
      </c>
      <c r="AD236" s="294">
        <f t="shared" si="453"/>
        <v>29</v>
      </c>
      <c r="AE236" s="294">
        <f t="shared" si="453"/>
        <v>30</v>
      </c>
    </row>
    <row r="237" spans="1:31" x14ac:dyDescent="0.2">
      <c r="A237" s="2" t="s">
        <v>420</v>
      </c>
      <c r="B237" s="1">
        <f>B229</f>
        <v>0</v>
      </c>
      <c r="C237" s="1">
        <f>B238</f>
        <v>0</v>
      </c>
      <c r="D237" s="1">
        <f t="shared" ref="D237:AE237" si="454">C238</f>
        <v>0</v>
      </c>
      <c r="E237" s="1">
        <f t="shared" si="454"/>
        <v>0</v>
      </c>
      <c r="F237" s="1">
        <f t="shared" si="454"/>
        <v>0</v>
      </c>
      <c r="G237" s="1">
        <f t="shared" si="454"/>
        <v>0</v>
      </c>
      <c r="H237" s="1">
        <f t="shared" si="454"/>
        <v>0</v>
      </c>
      <c r="I237" s="1">
        <f t="shared" si="454"/>
        <v>0</v>
      </c>
      <c r="J237" s="1">
        <f t="shared" si="454"/>
        <v>0</v>
      </c>
      <c r="K237" s="1">
        <f t="shared" si="454"/>
        <v>0</v>
      </c>
      <c r="L237" s="1">
        <f t="shared" si="454"/>
        <v>0</v>
      </c>
      <c r="M237" s="1">
        <f t="shared" si="454"/>
        <v>0</v>
      </c>
      <c r="N237" s="1">
        <f t="shared" si="454"/>
        <v>0</v>
      </c>
      <c r="O237" s="1">
        <f t="shared" si="454"/>
        <v>0</v>
      </c>
      <c r="P237" s="1">
        <f t="shared" si="454"/>
        <v>0</v>
      </c>
      <c r="Q237" s="1">
        <f t="shared" si="454"/>
        <v>0</v>
      </c>
      <c r="R237" s="1">
        <f t="shared" si="454"/>
        <v>0</v>
      </c>
      <c r="S237" s="1">
        <f t="shared" si="454"/>
        <v>0</v>
      </c>
      <c r="T237" s="1">
        <f t="shared" si="454"/>
        <v>0</v>
      </c>
      <c r="U237" s="1">
        <f t="shared" si="454"/>
        <v>0</v>
      </c>
      <c r="V237" s="1">
        <f t="shared" si="454"/>
        <v>0</v>
      </c>
      <c r="W237" s="1">
        <f t="shared" si="454"/>
        <v>0</v>
      </c>
      <c r="X237" s="1">
        <f t="shared" si="454"/>
        <v>0</v>
      </c>
      <c r="Y237" s="1">
        <f t="shared" si="454"/>
        <v>0</v>
      </c>
      <c r="Z237" s="1">
        <f t="shared" si="454"/>
        <v>0</v>
      </c>
      <c r="AA237" s="1">
        <f t="shared" si="454"/>
        <v>0</v>
      </c>
      <c r="AB237" s="1">
        <f t="shared" si="454"/>
        <v>0</v>
      </c>
      <c r="AC237" s="1">
        <f t="shared" si="454"/>
        <v>0</v>
      </c>
      <c r="AD237" s="1">
        <f t="shared" si="454"/>
        <v>0</v>
      </c>
      <c r="AE237" s="1">
        <f t="shared" si="454"/>
        <v>0</v>
      </c>
    </row>
    <row r="238" spans="1:31" x14ac:dyDescent="0.2">
      <c r="A238" s="2" t="s">
        <v>421</v>
      </c>
      <c r="B238" s="1">
        <f>PV($B$230/12,12*($B$232-B$236),-$B$233)</f>
        <v>0</v>
      </c>
      <c r="C238" s="1">
        <f>IF($B$232&lt;=C236,0,PV($B$230/12,12*($B$231-C$236),-$B$233))</f>
        <v>0</v>
      </c>
      <c r="D238" s="1">
        <f t="shared" ref="D238:AE238" si="455">IF($B$232&lt;=D236,0,PV($B$230/12,12*($B$231-D$236),-$B$233))</f>
        <v>0</v>
      </c>
      <c r="E238" s="1">
        <f t="shared" si="455"/>
        <v>0</v>
      </c>
      <c r="F238" s="1">
        <f t="shared" si="455"/>
        <v>0</v>
      </c>
      <c r="G238" s="1">
        <f t="shared" si="455"/>
        <v>0</v>
      </c>
      <c r="H238" s="1">
        <f t="shared" si="455"/>
        <v>0</v>
      </c>
      <c r="I238" s="1">
        <f t="shared" si="455"/>
        <v>0</v>
      </c>
      <c r="J238" s="1">
        <f t="shared" si="455"/>
        <v>0</v>
      </c>
      <c r="K238" s="1">
        <f t="shared" si="455"/>
        <v>0</v>
      </c>
      <c r="L238" s="1">
        <f t="shared" si="455"/>
        <v>0</v>
      </c>
      <c r="M238" s="1">
        <f t="shared" si="455"/>
        <v>0</v>
      </c>
      <c r="N238" s="1">
        <f t="shared" si="455"/>
        <v>0</v>
      </c>
      <c r="O238" s="1">
        <f t="shared" si="455"/>
        <v>0</v>
      </c>
      <c r="P238" s="1">
        <f t="shared" si="455"/>
        <v>0</v>
      </c>
      <c r="Q238" s="1">
        <f t="shared" si="455"/>
        <v>0</v>
      </c>
      <c r="R238" s="1">
        <f t="shared" si="455"/>
        <v>0</v>
      </c>
      <c r="S238" s="1">
        <f t="shared" si="455"/>
        <v>0</v>
      </c>
      <c r="T238" s="1">
        <f t="shared" si="455"/>
        <v>0</v>
      </c>
      <c r="U238" s="1">
        <f t="shared" si="455"/>
        <v>0</v>
      </c>
      <c r="V238" s="1">
        <f t="shared" si="455"/>
        <v>0</v>
      </c>
      <c r="W238" s="1">
        <f t="shared" si="455"/>
        <v>0</v>
      </c>
      <c r="X238" s="1">
        <f t="shared" si="455"/>
        <v>0</v>
      </c>
      <c r="Y238" s="1">
        <f t="shared" si="455"/>
        <v>0</v>
      </c>
      <c r="Z238" s="1">
        <f t="shared" si="455"/>
        <v>0</v>
      </c>
      <c r="AA238" s="1">
        <f t="shared" si="455"/>
        <v>0</v>
      </c>
      <c r="AB238" s="1">
        <f t="shared" si="455"/>
        <v>0</v>
      </c>
      <c r="AC238" s="1">
        <f t="shared" si="455"/>
        <v>0</v>
      </c>
      <c r="AD238" s="1">
        <f t="shared" si="455"/>
        <v>0</v>
      </c>
      <c r="AE238" s="1">
        <f t="shared" si="455"/>
        <v>0</v>
      </c>
    </row>
    <row r="239" spans="1:31" x14ac:dyDescent="0.2">
      <c r="A239" s="2" t="s">
        <v>413</v>
      </c>
      <c r="B239" s="1">
        <f>B237-B238</f>
        <v>0</v>
      </c>
      <c r="C239" s="1">
        <f>IF($B$232&lt;=C236,C237,C237-PV($B$230/12,12*($B$231-C$236),-$B$233))</f>
        <v>0</v>
      </c>
      <c r="D239" s="1">
        <f t="shared" ref="D239:AE239" si="456">IF($B$232&lt;=D236,D237,D237-PV($B$230/12,12*($B$231-D$236),-$B$233))</f>
        <v>0</v>
      </c>
      <c r="E239" s="1">
        <f t="shared" si="456"/>
        <v>0</v>
      </c>
      <c r="F239" s="1">
        <f t="shared" si="456"/>
        <v>0</v>
      </c>
      <c r="G239" s="1">
        <f t="shared" si="456"/>
        <v>0</v>
      </c>
      <c r="H239" s="1">
        <f t="shared" si="456"/>
        <v>0</v>
      </c>
      <c r="I239" s="1">
        <f t="shared" si="456"/>
        <v>0</v>
      </c>
      <c r="J239" s="1">
        <f t="shared" si="456"/>
        <v>0</v>
      </c>
      <c r="K239" s="1">
        <f t="shared" si="456"/>
        <v>0</v>
      </c>
      <c r="L239" s="1">
        <f t="shared" si="456"/>
        <v>0</v>
      </c>
      <c r="M239" s="1">
        <f t="shared" si="456"/>
        <v>0</v>
      </c>
      <c r="N239" s="1">
        <f t="shared" si="456"/>
        <v>0</v>
      </c>
      <c r="O239" s="1">
        <f t="shared" si="456"/>
        <v>0</v>
      </c>
      <c r="P239" s="1">
        <f t="shared" si="456"/>
        <v>0</v>
      </c>
      <c r="Q239" s="1">
        <f t="shared" si="456"/>
        <v>0</v>
      </c>
      <c r="R239" s="1">
        <f t="shared" si="456"/>
        <v>0</v>
      </c>
      <c r="S239" s="1">
        <f t="shared" si="456"/>
        <v>0</v>
      </c>
      <c r="T239" s="1">
        <f t="shared" si="456"/>
        <v>0</v>
      </c>
      <c r="U239" s="1">
        <f t="shared" si="456"/>
        <v>0</v>
      </c>
      <c r="V239" s="1">
        <f t="shared" si="456"/>
        <v>0</v>
      </c>
      <c r="W239" s="1">
        <f t="shared" si="456"/>
        <v>0</v>
      </c>
      <c r="X239" s="1">
        <f t="shared" si="456"/>
        <v>0</v>
      </c>
      <c r="Y239" s="1">
        <f t="shared" si="456"/>
        <v>0</v>
      </c>
      <c r="Z239" s="1">
        <f t="shared" si="456"/>
        <v>0</v>
      </c>
      <c r="AA239" s="1">
        <f t="shared" si="456"/>
        <v>0</v>
      </c>
      <c r="AB239" s="1">
        <f t="shared" si="456"/>
        <v>0</v>
      </c>
      <c r="AC239" s="1">
        <f t="shared" si="456"/>
        <v>0</v>
      </c>
      <c r="AD239" s="1">
        <f t="shared" si="456"/>
        <v>0</v>
      </c>
      <c r="AE239" s="1">
        <f t="shared" si="456"/>
        <v>0</v>
      </c>
    </row>
    <row r="240" spans="1:31" x14ac:dyDescent="0.2">
      <c r="A240" s="2" t="s">
        <v>414</v>
      </c>
      <c r="B240" s="1">
        <f>$B$234-B239</f>
        <v>0</v>
      </c>
      <c r="C240" s="1">
        <f>IF($B$232&gt;=C236,$B$234-(C237-PV($B$230/12,12*($B$231-C$236),-$B$233)),0)</f>
        <v>0</v>
      </c>
      <c r="D240" s="1">
        <f t="shared" ref="D240:AE240" si="457">IF($B$232&gt;=D236,$B$234-(D237-PV($B$230/12,12*($B$231-D$236),-$B$233)),0)</f>
        <v>0</v>
      </c>
      <c r="E240" s="1">
        <f t="shared" si="457"/>
        <v>0</v>
      </c>
      <c r="F240" s="1">
        <f t="shared" si="457"/>
        <v>0</v>
      </c>
      <c r="G240" s="1">
        <f t="shared" si="457"/>
        <v>0</v>
      </c>
      <c r="H240" s="1">
        <f t="shared" si="457"/>
        <v>0</v>
      </c>
      <c r="I240" s="1">
        <f t="shared" si="457"/>
        <v>0</v>
      </c>
      <c r="J240" s="1">
        <f t="shared" si="457"/>
        <v>0</v>
      </c>
      <c r="K240" s="1">
        <f t="shared" si="457"/>
        <v>0</v>
      </c>
      <c r="L240" s="1">
        <f t="shared" si="457"/>
        <v>0</v>
      </c>
      <c r="M240" s="1">
        <f t="shared" si="457"/>
        <v>0</v>
      </c>
      <c r="N240" s="1">
        <f t="shared" si="457"/>
        <v>0</v>
      </c>
      <c r="O240" s="1">
        <f t="shared" si="457"/>
        <v>0</v>
      </c>
      <c r="P240" s="1">
        <f t="shared" si="457"/>
        <v>0</v>
      </c>
      <c r="Q240" s="1">
        <f t="shared" si="457"/>
        <v>0</v>
      </c>
      <c r="R240" s="1">
        <f t="shared" si="457"/>
        <v>0</v>
      </c>
      <c r="S240" s="1">
        <f t="shared" si="457"/>
        <v>0</v>
      </c>
      <c r="T240" s="1">
        <f t="shared" si="457"/>
        <v>0</v>
      </c>
      <c r="U240" s="1">
        <f t="shared" si="457"/>
        <v>0</v>
      </c>
      <c r="V240" s="1">
        <f t="shared" si="457"/>
        <v>0</v>
      </c>
      <c r="W240" s="1">
        <f t="shared" si="457"/>
        <v>0</v>
      </c>
      <c r="X240" s="1">
        <f t="shared" si="457"/>
        <v>0</v>
      </c>
      <c r="Y240" s="1">
        <f t="shared" si="457"/>
        <v>0</v>
      </c>
      <c r="Z240" s="1">
        <f t="shared" si="457"/>
        <v>0</v>
      </c>
      <c r="AA240" s="1">
        <f t="shared" si="457"/>
        <v>0</v>
      </c>
      <c r="AB240" s="1">
        <f t="shared" si="457"/>
        <v>0</v>
      </c>
      <c r="AC240" s="1">
        <f t="shared" si="457"/>
        <v>0</v>
      </c>
      <c r="AD240" s="1">
        <f t="shared" si="457"/>
        <v>0</v>
      </c>
      <c r="AE240" s="1">
        <f t="shared" si="457"/>
        <v>0</v>
      </c>
    </row>
    <row r="241" spans="1:31" x14ac:dyDescent="0.2">
      <c r="A241" s="2" t="s">
        <v>422</v>
      </c>
      <c r="B241" s="1">
        <f>B239+B240</f>
        <v>0</v>
      </c>
      <c r="C241" s="1">
        <f>C239+C240</f>
        <v>0</v>
      </c>
      <c r="D241" s="1">
        <f t="shared" ref="D241:AE241" si="458">D239+D240</f>
        <v>0</v>
      </c>
      <c r="E241" s="1">
        <f t="shared" si="458"/>
        <v>0</v>
      </c>
      <c r="F241" s="1">
        <f t="shared" si="458"/>
        <v>0</v>
      </c>
      <c r="G241" s="1">
        <f t="shared" si="458"/>
        <v>0</v>
      </c>
      <c r="H241" s="1">
        <f t="shared" si="458"/>
        <v>0</v>
      </c>
      <c r="I241" s="1">
        <f t="shared" si="458"/>
        <v>0</v>
      </c>
      <c r="J241" s="1">
        <f t="shared" si="458"/>
        <v>0</v>
      </c>
      <c r="K241" s="1">
        <f t="shared" si="458"/>
        <v>0</v>
      </c>
      <c r="L241" s="1">
        <f t="shared" si="458"/>
        <v>0</v>
      </c>
      <c r="M241" s="1">
        <f t="shared" si="458"/>
        <v>0</v>
      </c>
      <c r="N241" s="1">
        <f t="shared" si="458"/>
        <v>0</v>
      </c>
      <c r="O241" s="1">
        <f t="shared" si="458"/>
        <v>0</v>
      </c>
      <c r="P241" s="1">
        <f t="shared" si="458"/>
        <v>0</v>
      </c>
      <c r="Q241" s="1">
        <f t="shared" si="458"/>
        <v>0</v>
      </c>
      <c r="R241" s="1">
        <f t="shared" si="458"/>
        <v>0</v>
      </c>
      <c r="S241" s="1">
        <f t="shared" si="458"/>
        <v>0</v>
      </c>
      <c r="T241" s="1">
        <f t="shared" si="458"/>
        <v>0</v>
      </c>
      <c r="U241" s="1">
        <f t="shared" si="458"/>
        <v>0</v>
      </c>
      <c r="V241" s="1">
        <f t="shared" si="458"/>
        <v>0</v>
      </c>
      <c r="W241" s="1">
        <f t="shared" si="458"/>
        <v>0</v>
      </c>
      <c r="X241" s="1">
        <f t="shared" si="458"/>
        <v>0</v>
      </c>
      <c r="Y241" s="1">
        <f t="shared" si="458"/>
        <v>0</v>
      </c>
      <c r="Z241" s="1">
        <f t="shared" si="458"/>
        <v>0</v>
      </c>
      <c r="AA241" s="1">
        <f t="shared" si="458"/>
        <v>0</v>
      </c>
      <c r="AB241" s="1">
        <f t="shared" si="458"/>
        <v>0</v>
      </c>
      <c r="AC241" s="1">
        <f t="shared" si="458"/>
        <v>0</v>
      </c>
      <c r="AD241" s="1">
        <f t="shared" si="458"/>
        <v>0</v>
      </c>
      <c r="AE241" s="1">
        <f t="shared" si="458"/>
        <v>0</v>
      </c>
    </row>
    <row r="242" spans="1:3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spans="1:31" x14ac:dyDescent="0.2">
      <c r="A243" s="13"/>
    </row>
    <row r="244" spans="1:31" ht="15" outlineLevel="1" x14ac:dyDescent="0.25">
      <c r="A244" s="292" t="str">
        <f>assumptions!A35</f>
        <v>[Additional Field - Specify] (Non-Amortizing)</v>
      </c>
      <c r="B244" s="1"/>
    </row>
    <row r="245" spans="1:31" outlineLevel="1" x14ac:dyDescent="0.2">
      <c r="A245" s="2"/>
      <c r="B245" s="1"/>
    </row>
    <row r="246" spans="1:31" outlineLevel="1" x14ac:dyDescent="0.2">
      <c r="A246" s="297" t="s">
        <v>413</v>
      </c>
      <c r="B246" s="1">
        <f>assumptions!B35</f>
        <v>0</v>
      </c>
    </row>
    <row r="247" spans="1:31" outlineLevel="1" x14ac:dyDescent="0.2">
      <c r="A247" s="297" t="s">
        <v>414</v>
      </c>
      <c r="B247" s="482">
        <f>assumptions!D35</f>
        <v>0</v>
      </c>
    </row>
    <row r="248" spans="1:31" outlineLevel="1" x14ac:dyDescent="0.2">
      <c r="A248" s="297" t="s">
        <v>416</v>
      </c>
      <c r="B248" s="1">
        <f>IF(assumptions!F35="deferred",0,assumptions!F35)</f>
        <v>0</v>
      </c>
    </row>
    <row r="249" spans="1:31" outlineLevel="1" x14ac:dyDescent="0.2">
      <c r="A249" s="297" t="s">
        <v>417</v>
      </c>
      <c r="B249" s="1">
        <f>B246*(B247/12)</f>
        <v>0</v>
      </c>
    </row>
    <row r="250" spans="1:31" outlineLevel="1" x14ac:dyDescent="0.2">
      <c r="A250" s="297" t="s">
        <v>418</v>
      </c>
      <c r="B250" s="72">
        <f>B249*12</f>
        <v>0</v>
      </c>
    </row>
    <row r="251" spans="1:31" outlineLevel="1" x14ac:dyDescent="0.2">
      <c r="A251" s="13"/>
    </row>
    <row r="252" spans="1:31" outlineLevel="1" x14ac:dyDescent="0.2">
      <c r="A252" s="295" t="s">
        <v>419</v>
      </c>
      <c r="B252" s="294">
        <v>1</v>
      </c>
      <c r="C252" s="294">
        <f t="shared" ref="C252" si="459">B252+1</f>
        <v>2</v>
      </c>
      <c r="D252" s="294">
        <f t="shared" ref="D252" si="460">C252+1</f>
        <v>3</v>
      </c>
      <c r="E252" s="294">
        <f t="shared" ref="E252" si="461">D252+1</f>
        <v>4</v>
      </c>
      <c r="F252" s="294">
        <f t="shared" ref="F252" si="462">E252+1</f>
        <v>5</v>
      </c>
      <c r="G252" s="294">
        <f t="shared" ref="G252" si="463">F252+1</f>
        <v>6</v>
      </c>
      <c r="H252" s="294">
        <f t="shared" ref="H252" si="464">G252+1</f>
        <v>7</v>
      </c>
      <c r="I252" s="294">
        <f t="shared" ref="I252" si="465">H252+1</f>
        <v>8</v>
      </c>
      <c r="J252" s="294">
        <f t="shared" ref="J252" si="466">I252+1</f>
        <v>9</v>
      </c>
      <c r="K252" s="294">
        <f t="shared" ref="K252" si="467">J252+1</f>
        <v>10</v>
      </c>
      <c r="L252" s="294">
        <f t="shared" ref="L252" si="468">K252+1</f>
        <v>11</v>
      </c>
      <c r="M252" s="294">
        <f t="shared" ref="M252" si="469">L252+1</f>
        <v>12</v>
      </c>
      <c r="N252" s="294">
        <f t="shared" ref="N252" si="470">M252+1</f>
        <v>13</v>
      </c>
      <c r="O252" s="294">
        <f t="shared" ref="O252" si="471">N252+1</f>
        <v>14</v>
      </c>
      <c r="P252" s="294">
        <f t="shared" ref="P252" si="472">O252+1</f>
        <v>15</v>
      </c>
      <c r="Q252" s="294">
        <f t="shared" ref="Q252" si="473">P252+1</f>
        <v>16</v>
      </c>
      <c r="R252" s="294">
        <f t="shared" ref="R252" si="474">Q252+1</f>
        <v>17</v>
      </c>
      <c r="S252" s="294">
        <f t="shared" ref="S252" si="475">R252+1</f>
        <v>18</v>
      </c>
      <c r="T252" s="294">
        <f t="shared" ref="T252" si="476">S252+1</f>
        <v>19</v>
      </c>
      <c r="U252" s="294">
        <f t="shared" ref="U252" si="477">T252+1</f>
        <v>20</v>
      </c>
      <c r="V252" s="294">
        <f t="shared" ref="V252" si="478">U252+1</f>
        <v>21</v>
      </c>
      <c r="W252" s="294">
        <f t="shared" ref="W252" si="479">V252+1</f>
        <v>22</v>
      </c>
      <c r="X252" s="294">
        <f t="shared" ref="X252" si="480">W252+1</f>
        <v>23</v>
      </c>
      <c r="Y252" s="294">
        <f t="shared" ref="Y252" si="481">X252+1</f>
        <v>24</v>
      </c>
      <c r="Z252" s="294">
        <f t="shared" ref="Z252" si="482">Y252+1</f>
        <v>25</v>
      </c>
      <c r="AA252" s="294">
        <f t="shared" ref="AA252" si="483">Z252+1</f>
        <v>26</v>
      </c>
      <c r="AB252" s="294">
        <f t="shared" ref="AB252" si="484">AA252+1</f>
        <v>27</v>
      </c>
      <c r="AC252" s="294">
        <f t="shared" ref="AC252" si="485">AB252+1</f>
        <v>28</v>
      </c>
      <c r="AD252" s="294">
        <f t="shared" ref="AD252" si="486">AC252+1</f>
        <v>29</v>
      </c>
      <c r="AE252" s="294">
        <f t="shared" ref="AE252" si="487">AD252+1</f>
        <v>30</v>
      </c>
    </row>
    <row r="253" spans="1:31" outlineLevel="1" x14ac:dyDescent="0.2">
      <c r="A253" s="2" t="s">
        <v>420</v>
      </c>
      <c r="B253" s="1">
        <f>B246</f>
        <v>0</v>
      </c>
      <c r="C253" s="1">
        <f t="shared" ref="C253" si="488">B254</f>
        <v>0</v>
      </c>
      <c r="D253" s="1">
        <f t="shared" ref="D253" si="489">C254</f>
        <v>0</v>
      </c>
      <c r="E253" s="1">
        <f t="shared" ref="E253" si="490">D254</f>
        <v>0</v>
      </c>
      <c r="F253" s="1">
        <f t="shared" ref="F253" si="491">E254</f>
        <v>0</v>
      </c>
      <c r="G253" s="1">
        <f t="shared" ref="G253" si="492">F254</f>
        <v>0</v>
      </c>
      <c r="H253" s="1">
        <f t="shared" ref="H253" si="493">G254</f>
        <v>0</v>
      </c>
      <c r="I253" s="1">
        <f t="shared" ref="I253" si="494">H254</f>
        <v>0</v>
      </c>
      <c r="J253" s="1">
        <f t="shared" ref="J253" si="495">I254</f>
        <v>0</v>
      </c>
      <c r="K253" s="1">
        <f t="shared" ref="K253" si="496">J254</f>
        <v>0</v>
      </c>
      <c r="L253" s="1">
        <f t="shared" ref="L253" si="497">K254</f>
        <v>0</v>
      </c>
      <c r="M253" s="1">
        <f t="shared" ref="M253" si="498">L254</f>
        <v>0</v>
      </c>
      <c r="N253" s="1">
        <f t="shared" ref="N253" si="499">M254</f>
        <v>0</v>
      </c>
      <c r="O253" s="1">
        <f t="shared" ref="O253" si="500">N254</f>
        <v>0</v>
      </c>
      <c r="P253" s="1">
        <f t="shared" ref="P253" si="501">O254</f>
        <v>0</v>
      </c>
      <c r="Q253" s="1">
        <f t="shared" ref="Q253" si="502">P254</f>
        <v>0</v>
      </c>
      <c r="R253" s="1">
        <f t="shared" ref="R253" si="503">Q254</f>
        <v>0</v>
      </c>
      <c r="S253" s="1">
        <f t="shared" ref="S253" si="504">R254</f>
        <v>0</v>
      </c>
      <c r="T253" s="1">
        <f t="shared" ref="T253" si="505">S254</f>
        <v>0</v>
      </c>
      <c r="U253" s="1">
        <f t="shared" ref="U253" si="506">T254</f>
        <v>0</v>
      </c>
      <c r="V253" s="1">
        <f t="shared" ref="V253" si="507">U254</f>
        <v>0</v>
      </c>
      <c r="W253" s="1">
        <f t="shared" ref="W253" si="508">V254</f>
        <v>0</v>
      </c>
      <c r="X253" s="1">
        <f t="shared" ref="X253" si="509">W254</f>
        <v>0</v>
      </c>
      <c r="Y253" s="1">
        <f t="shared" ref="Y253" si="510">X254</f>
        <v>0</v>
      </c>
      <c r="Z253" s="1">
        <f t="shared" ref="Z253" si="511">Y254</f>
        <v>0</v>
      </c>
      <c r="AA253" s="1">
        <f t="shared" ref="AA253" si="512">Z254</f>
        <v>0</v>
      </c>
      <c r="AB253" s="1">
        <f t="shared" ref="AB253" si="513">AA254</f>
        <v>0</v>
      </c>
      <c r="AC253" s="1">
        <f t="shared" ref="AC253" si="514">AB254</f>
        <v>0</v>
      </c>
      <c r="AD253" s="1">
        <f t="shared" ref="AD253" si="515">AC254</f>
        <v>0</v>
      </c>
      <c r="AE253" s="1">
        <f t="shared" ref="AE253" si="516">AD254</f>
        <v>0</v>
      </c>
    </row>
    <row r="254" spans="1:31" outlineLevel="1" x14ac:dyDescent="0.2">
      <c r="A254" s="2" t="s">
        <v>421</v>
      </c>
      <c r="B254" s="1">
        <f>B253-B255</f>
        <v>0</v>
      </c>
      <c r="C254" s="1">
        <f t="shared" ref="C254:AE254" si="517">C253-C255</f>
        <v>0</v>
      </c>
      <c r="D254" s="1">
        <f t="shared" si="517"/>
        <v>0</v>
      </c>
      <c r="E254" s="1">
        <f t="shared" si="517"/>
        <v>0</v>
      </c>
      <c r="F254" s="1">
        <f t="shared" si="517"/>
        <v>0</v>
      </c>
      <c r="G254" s="1">
        <f t="shared" si="517"/>
        <v>0</v>
      </c>
      <c r="H254" s="1">
        <f t="shared" si="517"/>
        <v>0</v>
      </c>
      <c r="I254" s="1">
        <f t="shared" si="517"/>
        <v>0</v>
      </c>
      <c r="J254" s="1">
        <f t="shared" si="517"/>
        <v>0</v>
      </c>
      <c r="K254" s="1">
        <f t="shared" si="517"/>
        <v>0</v>
      </c>
      <c r="L254" s="1">
        <f t="shared" si="517"/>
        <v>0</v>
      </c>
      <c r="M254" s="1">
        <f t="shared" si="517"/>
        <v>0</v>
      </c>
      <c r="N254" s="1">
        <f t="shared" si="517"/>
        <v>0</v>
      </c>
      <c r="O254" s="1">
        <f t="shared" si="517"/>
        <v>0</v>
      </c>
      <c r="P254" s="1">
        <f t="shared" si="517"/>
        <v>0</v>
      </c>
      <c r="Q254" s="1">
        <f t="shared" si="517"/>
        <v>0</v>
      </c>
      <c r="R254" s="1">
        <f t="shared" si="517"/>
        <v>0</v>
      </c>
      <c r="S254" s="1">
        <f t="shared" si="517"/>
        <v>0</v>
      </c>
      <c r="T254" s="1">
        <f t="shared" si="517"/>
        <v>0</v>
      </c>
      <c r="U254" s="1">
        <f t="shared" si="517"/>
        <v>0</v>
      </c>
      <c r="V254" s="1">
        <f t="shared" si="517"/>
        <v>0</v>
      </c>
      <c r="W254" s="1">
        <f t="shared" si="517"/>
        <v>0</v>
      </c>
      <c r="X254" s="1">
        <f t="shared" si="517"/>
        <v>0</v>
      </c>
      <c r="Y254" s="1">
        <f t="shared" si="517"/>
        <v>0</v>
      </c>
      <c r="Z254" s="1">
        <f t="shared" si="517"/>
        <v>0</v>
      </c>
      <c r="AA254" s="1">
        <f t="shared" si="517"/>
        <v>0</v>
      </c>
      <c r="AB254" s="1">
        <f t="shared" si="517"/>
        <v>0</v>
      </c>
      <c r="AC254" s="1">
        <f t="shared" si="517"/>
        <v>0</v>
      </c>
      <c r="AD254" s="1">
        <f t="shared" si="517"/>
        <v>0</v>
      </c>
      <c r="AE254" s="1">
        <f t="shared" si="517"/>
        <v>0</v>
      </c>
    </row>
    <row r="255" spans="1:31" outlineLevel="1" x14ac:dyDescent="0.2">
      <c r="A255" s="2" t="s">
        <v>413</v>
      </c>
      <c r="B255" s="1">
        <f t="shared" ref="B255:AE255" si="518">IF($B248=B252,B253,0)</f>
        <v>0</v>
      </c>
      <c r="C255" s="1">
        <f t="shared" si="518"/>
        <v>0</v>
      </c>
      <c r="D255" s="1">
        <f t="shared" si="518"/>
        <v>0</v>
      </c>
      <c r="E255" s="1">
        <f t="shared" si="518"/>
        <v>0</v>
      </c>
      <c r="F255" s="1">
        <f t="shared" si="518"/>
        <v>0</v>
      </c>
      <c r="G255" s="1">
        <f t="shared" si="518"/>
        <v>0</v>
      </c>
      <c r="H255" s="1">
        <f t="shared" si="518"/>
        <v>0</v>
      </c>
      <c r="I255" s="1">
        <f t="shared" si="518"/>
        <v>0</v>
      </c>
      <c r="J255" s="1">
        <f t="shared" si="518"/>
        <v>0</v>
      </c>
      <c r="K255" s="1">
        <f t="shared" si="518"/>
        <v>0</v>
      </c>
      <c r="L255" s="1">
        <f t="shared" si="518"/>
        <v>0</v>
      </c>
      <c r="M255" s="1">
        <f t="shared" si="518"/>
        <v>0</v>
      </c>
      <c r="N255" s="1">
        <f t="shared" si="518"/>
        <v>0</v>
      </c>
      <c r="O255" s="1">
        <f t="shared" si="518"/>
        <v>0</v>
      </c>
      <c r="P255" s="1">
        <f t="shared" si="518"/>
        <v>0</v>
      </c>
      <c r="Q255" s="1">
        <f t="shared" si="518"/>
        <v>0</v>
      </c>
      <c r="R255" s="1">
        <f t="shared" si="518"/>
        <v>0</v>
      </c>
      <c r="S255" s="1">
        <f t="shared" si="518"/>
        <v>0</v>
      </c>
      <c r="T255" s="1">
        <f t="shared" si="518"/>
        <v>0</v>
      </c>
      <c r="U255" s="1">
        <f t="shared" si="518"/>
        <v>0</v>
      </c>
      <c r="V255" s="1">
        <f t="shared" si="518"/>
        <v>0</v>
      </c>
      <c r="W255" s="1">
        <f t="shared" si="518"/>
        <v>0</v>
      </c>
      <c r="X255" s="1">
        <f t="shared" si="518"/>
        <v>0</v>
      </c>
      <c r="Y255" s="1">
        <f t="shared" si="518"/>
        <v>0</v>
      </c>
      <c r="Z255" s="1">
        <f t="shared" si="518"/>
        <v>0</v>
      </c>
      <c r="AA255" s="1">
        <f t="shared" si="518"/>
        <v>0</v>
      </c>
      <c r="AB255" s="1">
        <f t="shared" si="518"/>
        <v>0</v>
      </c>
      <c r="AC255" s="1">
        <f t="shared" si="518"/>
        <v>0</v>
      </c>
      <c r="AD255" s="1">
        <f t="shared" si="518"/>
        <v>0</v>
      </c>
      <c r="AE255" s="1">
        <f t="shared" si="518"/>
        <v>0</v>
      </c>
    </row>
    <row r="256" spans="1:31" outlineLevel="1" x14ac:dyDescent="0.2">
      <c r="A256" s="2" t="s">
        <v>414</v>
      </c>
      <c r="B256" s="1">
        <f t="shared" ref="B256:AE256" si="519">IF($B248&gt;=B252,B253*$B247,0)</f>
        <v>0</v>
      </c>
      <c r="C256" s="1">
        <f t="shared" si="519"/>
        <v>0</v>
      </c>
      <c r="D256" s="1">
        <f t="shared" si="519"/>
        <v>0</v>
      </c>
      <c r="E256" s="1">
        <f t="shared" si="519"/>
        <v>0</v>
      </c>
      <c r="F256" s="1">
        <f t="shared" si="519"/>
        <v>0</v>
      </c>
      <c r="G256" s="1">
        <f t="shared" si="519"/>
        <v>0</v>
      </c>
      <c r="H256" s="1">
        <f t="shared" si="519"/>
        <v>0</v>
      </c>
      <c r="I256" s="1">
        <f t="shared" si="519"/>
        <v>0</v>
      </c>
      <c r="J256" s="1">
        <f t="shared" si="519"/>
        <v>0</v>
      </c>
      <c r="K256" s="1">
        <f t="shared" si="519"/>
        <v>0</v>
      </c>
      <c r="L256" s="1">
        <f t="shared" si="519"/>
        <v>0</v>
      </c>
      <c r="M256" s="1">
        <f t="shared" si="519"/>
        <v>0</v>
      </c>
      <c r="N256" s="1">
        <f t="shared" si="519"/>
        <v>0</v>
      </c>
      <c r="O256" s="1">
        <f t="shared" si="519"/>
        <v>0</v>
      </c>
      <c r="P256" s="1">
        <f t="shared" si="519"/>
        <v>0</v>
      </c>
      <c r="Q256" s="1">
        <f t="shared" si="519"/>
        <v>0</v>
      </c>
      <c r="R256" s="1">
        <f t="shared" si="519"/>
        <v>0</v>
      </c>
      <c r="S256" s="1">
        <f t="shared" si="519"/>
        <v>0</v>
      </c>
      <c r="T256" s="1">
        <f t="shared" si="519"/>
        <v>0</v>
      </c>
      <c r="U256" s="1">
        <f t="shared" si="519"/>
        <v>0</v>
      </c>
      <c r="V256" s="1">
        <f t="shared" si="519"/>
        <v>0</v>
      </c>
      <c r="W256" s="1">
        <f t="shared" si="519"/>
        <v>0</v>
      </c>
      <c r="X256" s="1">
        <f t="shared" si="519"/>
        <v>0</v>
      </c>
      <c r="Y256" s="1">
        <f t="shared" si="519"/>
        <v>0</v>
      </c>
      <c r="Z256" s="1">
        <f t="shared" si="519"/>
        <v>0</v>
      </c>
      <c r="AA256" s="1">
        <f t="shared" si="519"/>
        <v>0</v>
      </c>
      <c r="AB256" s="1">
        <f t="shared" si="519"/>
        <v>0</v>
      </c>
      <c r="AC256" s="1">
        <f t="shared" si="519"/>
        <v>0</v>
      </c>
      <c r="AD256" s="1">
        <f t="shared" si="519"/>
        <v>0</v>
      </c>
      <c r="AE256" s="1">
        <f t="shared" si="519"/>
        <v>0</v>
      </c>
    </row>
    <row r="257" spans="1:31" outlineLevel="1" x14ac:dyDescent="0.2">
      <c r="A257" s="2" t="s">
        <v>422</v>
      </c>
      <c r="B257" s="1">
        <f>B255+B256</f>
        <v>0</v>
      </c>
      <c r="C257" s="1">
        <f t="shared" ref="C257" si="520">C255+C256</f>
        <v>0</v>
      </c>
      <c r="D257" s="1">
        <f t="shared" ref="D257:AE257" si="521">D255+D256</f>
        <v>0</v>
      </c>
      <c r="E257" s="1">
        <f t="shared" si="521"/>
        <v>0</v>
      </c>
      <c r="F257" s="1">
        <f t="shared" si="521"/>
        <v>0</v>
      </c>
      <c r="G257" s="1">
        <f t="shared" si="521"/>
        <v>0</v>
      </c>
      <c r="H257" s="1">
        <f t="shared" si="521"/>
        <v>0</v>
      </c>
      <c r="I257" s="1">
        <f t="shared" si="521"/>
        <v>0</v>
      </c>
      <c r="J257" s="1">
        <f t="shared" si="521"/>
        <v>0</v>
      </c>
      <c r="K257" s="1">
        <f t="shared" si="521"/>
        <v>0</v>
      </c>
      <c r="L257" s="1">
        <f t="shared" si="521"/>
        <v>0</v>
      </c>
      <c r="M257" s="1">
        <f t="shared" si="521"/>
        <v>0</v>
      </c>
      <c r="N257" s="1">
        <f t="shared" si="521"/>
        <v>0</v>
      </c>
      <c r="O257" s="1">
        <f t="shared" si="521"/>
        <v>0</v>
      </c>
      <c r="P257" s="1">
        <f t="shared" si="521"/>
        <v>0</v>
      </c>
      <c r="Q257" s="1">
        <f t="shared" si="521"/>
        <v>0</v>
      </c>
      <c r="R257" s="1">
        <f t="shared" si="521"/>
        <v>0</v>
      </c>
      <c r="S257" s="1">
        <f t="shared" si="521"/>
        <v>0</v>
      </c>
      <c r="T257" s="1">
        <f t="shared" si="521"/>
        <v>0</v>
      </c>
      <c r="U257" s="1">
        <f t="shared" si="521"/>
        <v>0</v>
      </c>
      <c r="V257" s="1">
        <f t="shared" si="521"/>
        <v>0</v>
      </c>
      <c r="W257" s="1">
        <f t="shared" si="521"/>
        <v>0</v>
      </c>
      <c r="X257" s="1">
        <f t="shared" si="521"/>
        <v>0</v>
      </c>
      <c r="Y257" s="1">
        <f t="shared" si="521"/>
        <v>0</v>
      </c>
      <c r="Z257" s="1">
        <f t="shared" si="521"/>
        <v>0</v>
      </c>
      <c r="AA257" s="1">
        <f t="shared" si="521"/>
        <v>0</v>
      </c>
      <c r="AB257" s="1">
        <f t="shared" si="521"/>
        <v>0</v>
      </c>
      <c r="AC257" s="1">
        <f t="shared" si="521"/>
        <v>0</v>
      </c>
      <c r="AD257" s="1">
        <f t="shared" si="521"/>
        <v>0</v>
      </c>
      <c r="AE257" s="1">
        <f t="shared" si="521"/>
        <v>0</v>
      </c>
    </row>
    <row r="258" spans="1:31" outlineLevel="1" x14ac:dyDescent="0.2">
      <c r="A258" s="13"/>
    </row>
    <row r="259" spans="1:31" ht="15" outlineLevel="2" x14ac:dyDescent="0.25">
      <c r="A259" s="292" t="str">
        <f>assumptions!A36</f>
        <v>[Additional Field - Specify] (Non-Amortizing)</v>
      </c>
    </row>
    <row r="260" spans="1:31" outlineLevel="2" x14ac:dyDescent="0.2">
      <c r="A260" s="13"/>
    </row>
    <row r="261" spans="1:31" outlineLevel="2" x14ac:dyDescent="0.2">
      <c r="A261" s="297" t="s">
        <v>413</v>
      </c>
      <c r="B261" s="1">
        <f>assumptions!B36</f>
        <v>0</v>
      </c>
    </row>
    <row r="262" spans="1:31" outlineLevel="2" x14ac:dyDescent="0.2">
      <c r="A262" s="297" t="s">
        <v>414</v>
      </c>
      <c r="B262" s="482">
        <f>assumptions!D36</f>
        <v>0</v>
      </c>
    </row>
    <row r="263" spans="1:31" outlineLevel="2" x14ac:dyDescent="0.2">
      <c r="A263" s="297" t="s">
        <v>416</v>
      </c>
      <c r="B263" s="1">
        <f>IF(assumptions!F36="deferred",0,assumptions!F36)</f>
        <v>0</v>
      </c>
    </row>
    <row r="264" spans="1:31" outlineLevel="2" x14ac:dyDescent="0.2">
      <c r="A264" s="297" t="s">
        <v>417</v>
      </c>
      <c r="B264" s="1">
        <f>B261*(B262/12)</f>
        <v>0</v>
      </c>
    </row>
    <row r="265" spans="1:31" outlineLevel="2" x14ac:dyDescent="0.2">
      <c r="A265" s="297" t="s">
        <v>418</v>
      </c>
      <c r="B265" s="72">
        <f>B264*12</f>
        <v>0</v>
      </c>
    </row>
    <row r="266" spans="1:31" outlineLevel="2" x14ac:dyDescent="0.2">
      <c r="A266" s="13"/>
    </row>
    <row r="267" spans="1:31" outlineLevel="2" x14ac:dyDescent="0.2">
      <c r="A267" s="295" t="s">
        <v>419</v>
      </c>
      <c r="B267" s="294">
        <v>1</v>
      </c>
      <c r="C267" s="294">
        <f t="shared" ref="C267" si="522">B267+1</f>
        <v>2</v>
      </c>
      <c r="D267" s="294">
        <f t="shared" ref="D267" si="523">C267+1</f>
        <v>3</v>
      </c>
      <c r="E267" s="294">
        <f t="shared" ref="E267" si="524">D267+1</f>
        <v>4</v>
      </c>
      <c r="F267" s="294">
        <f t="shared" ref="F267" si="525">E267+1</f>
        <v>5</v>
      </c>
      <c r="G267" s="294">
        <f t="shared" ref="G267" si="526">F267+1</f>
        <v>6</v>
      </c>
      <c r="H267" s="294">
        <f t="shared" ref="H267" si="527">G267+1</f>
        <v>7</v>
      </c>
      <c r="I267" s="294">
        <f t="shared" ref="I267" si="528">H267+1</f>
        <v>8</v>
      </c>
      <c r="J267" s="294">
        <f t="shared" ref="J267" si="529">I267+1</f>
        <v>9</v>
      </c>
      <c r="K267" s="294">
        <f t="shared" ref="K267" si="530">J267+1</f>
        <v>10</v>
      </c>
      <c r="L267" s="294">
        <f t="shared" ref="L267" si="531">K267+1</f>
        <v>11</v>
      </c>
      <c r="M267" s="294">
        <f t="shared" ref="M267" si="532">L267+1</f>
        <v>12</v>
      </c>
      <c r="N267" s="294">
        <f t="shared" ref="N267" si="533">M267+1</f>
        <v>13</v>
      </c>
      <c r="O267" s="294">
        <f t="shared" ref="O267" si="534">N267+1</f>
        <v>14</v>
      </c>
      <c r="P267" s="294">
        <f t="shared" ref="P267" si="535">O267+1</f>
        <v>15</v>
      </c>
      <c r="Q267" s="294">
        <f t="shared" ref="Q267" si="536">P267+1</f>
        <v>16</v>
      </c>
      <c r="R267" s="294">
        <f t="shared" ref="R267" si="537">Q267+1</f>
        <v>17</v>
      </c>
      <c r="S267" s="294">
        <f t="shared" ref="S267" si="538">R267+1</f>
        <v>18</v>
      </c>
      <c r="T267" s="294">
        <f t="shared" ref="T267" si="539">S267+1</f>
        <v>19</v>
      </c>
      <c r="U267" s="294">
        <f t="shared" ref="U267" si="540">T267+1</f>
        <v>20</v>
      </c>
      <c r="V267" s="294">
        <f t="shared" ref="V267" si="541">U267+1</f>
        <v>21</v>
      </c>
      <c r="W267" s="294">
        <f t="shared" ref="W267" si="542">V267+1</f>
        <v>22</v>
      </c>
      <c r="X267" s="294">
        <f t="shared" ref="X267" si="543">W267+1</f>
        <v>23</v>
      </c>
      <c r="Y267" s="294">
        <f t="shared" ref="Y267" si="544">X267+1</f>
        <v>24</v>
      </c>
      <c r="Z267" s="294">
        <f t="shared" ref="Z267" si="545">Y267+1</f>
        <v>25</v>
      </c>
      <c r="AA267" s="294">
        <f t="shared" ref="AA267" si="546">Z267+1</f>
        <v>26</v>
      </c>
      <c r="AB267" s="294">
        <f t="shared" ref="AB267" si="547">AA267+1</f>
        <v>27</v>
      </c>
      <c r="AC267" s="294">
        <f t="shared" ref="AC267" si="548">AB267+1</f>
        <v>28</v>
      </c>
      <c r="AD267" s="294">
        <f t="shared" ref="AD267" si="549">AC267+1</f>
        <v>29</v>
      </c>
      <c r="AE267" s="294">
        <f t="shared" ref="AE267" si="550">AD267+1</f>
        <v>30</v>
      </c>
    </row>
    <row r="268" spans="1:31" outlineLevel="2" x14ac:dyDescent="0.2">
      <c r="A268" s="2" t="s">
        <v>420</v>
      </c>
      <c r="B268" s="1">
        <f>B261</f>
        <v>0</v>
      </c>
      <c r="C268" s="1">
        <f>B269</f>
        <v>0</v>
      </c>
      <c r="D268" s="1">
        <f t="shared" ref="D268" si="551">C269</f>
        <v>0</v>
      </c>
      <c r="E268" s="1">
        <f t="shared" ref="E268" si="552">D269</f>
        <v>0</v>
      </c>
      <c r="F268" s="1">
        <f t="shared" ref="F268" si="553">E269</f>
        <v>0</v>
      </c>
      <c r="G268" s="1">
        <f t="shared" ref="G268" si="554">F269</f>
        <v>0</v>
      </c>
      <c r="H268" s="1">
        <f t="shared" ref="H268" si="555">G269</f>
        <v>0</v>
      </c>
      <c r="I268" s="1">
        <f t="shared" ref="I268" si="556">H269</f>
        <v>0</v>
      </c>
      <c r="J268" s="1">
        <f t="shared" ref="J268" si="557">I269</f>
        <v>0</v>
      </c>
      <c r="K268" s="1">
        <f t="shared" ref="K268" si="558">J269</f>
        <v>0</v>
      </c>
      <c r="L268" s="1">
        <f t="shared" ref="L268" si="559">K269</f>
        <v>0</v>
      </c>
      <c r="M268" s="1">
        <f t="shared" ref="M268" si="560">L269</f>
        <v>0</v>
      </c>
      <c r="N268" s="1">
        <f t="shared" ref="N268" si="561">M269</f>
        <v>0</v>
      </c>
      <c r="O268" s="1">
        <f t="shared" ref="O268" si="562">N269</f>
        <v>0</v>
      </c>
      <c r="P268" s="1">
        <f t="shared" ref="P268" si="563">O269</f>
        <v>0</v>
      </c>
      <c r="Q268" s="1">
        <f t="shared" ref="Q268" si="564">P269</f>
        <v>0</v>
      </c>
      <c r="R268" s="1">
        <f t="shared" ref="R268" si="565">Q269</f>
        <v>0</v>
      </c>
      <c r="S268" s="1">
        <f t="shared" ref="S268" si="566">R269</f>
        <v>0</v>
      </c>
      <c r="T268" s="1">
        <f t="shared" ref="T268" si="567">S269</f>
        <v>0</v>
      </c>
      <c r="U268" s="1">
        <f t="shared" ref="U268" si="568">T269</f>
        <v>0</v>
      </c>
      <c r="V268" s="1">
        <f t="shared" ref="V268" si="569">U269</f>
        <v>0</v>
      </c>
      <c r="W268" s="1">
        <f t="shared" ref="W268" si="570">V269</f>
        <v>0</v>
      </c>
      <c r="X268" s="1">
        <f t="shared" ref="X268" si="571">W269</f>
        <v>0</v>
      </c>
      <c r="Y268" s="1">
        <f t="shared" ref="Y268" si="572">X269</f>
        <v>0</v>
      </c>
      <c r="Z268" s="1">
        <f t="shared" ref="Z268" si="573">Y269</f>
        <v>0</v>
      </c>
      <c r="AA268" s="1">
        <f t="shared" ref="AA268" si="574">Z269</f>
        <v>0</v>
      </c>
      <c r="AB268" s="1">
        <f t="shared" ref="AB268" si="575">AA269</f>
        <v>0</v>
      </c>
      <c r="AC268" s="1">
        <f t="shared" ref="AC268" si="576">AB269</f>
        <v>0</v>
      </c>
      <c r="AD268" s="1">
        <f t="shared" ref="AD268" si="577">AC269</f>
        <v>0</v>
      </c>
      <c r="AE268" s="1">
        <f t="shared" ref="AE268" si="578">AD269</f>
        <v>0</v>
      </c>
    </row>
    <row r="269" spans="1:31" outlineLevel="2" x14ac:dyDescent="0.2">
      <c r="A269" s="2" t="s">
        <v>421</v>
      </c>
      <c r="B269" s="1">
        <f>B268-B270</f>
        <v>0</v>
      </c>
      <c r="C269" s="1">
        <f t="shared" ref="C269" si="579">C268-C270</f>
        <v>0</v>
      </c>
      <c r="D269" s="1">
        <f t="shared" ref="D269" si="580">D268-D270</f>
        <v>0</v>
      </c>
      <c r="E269" s="1">
        <f>E268-E270</f>
        <v>0</v>
      </c>
      <c r="F269" s="1">
        <f t="shared" ref="F269" si="581">F268-F270</f>
        <v>0</v>
      </c>
      <c r="G269" s="1">
        <f t="shared" ref="G269" si="582">G268-G270</f>
        <v>0</v>
      </c>
      <c r="H269" s="1">
        <f t="shared" ref="H269" si="583">H268-H270</f>
        <v>0</v>
      </c>
      <c r="I269" s="1">
        <f t="shared" ref="I269" si="584">I268-I270</f>
        <v>0</v>
      </c>
      <c r="J269" s="1">
        <f t="shared" ref="J269" si="585">J268-J270</f>
        <v>0</v>
      </c>
      <c r="K269" s="1">
        <f t="shared" ref="K269" si="586">K268-K270</f>
        <v>0</v>
      </c>
      <c r="L269" s="1">
        <f t="shared" ref="L269" si="587">L268-L270</f>
        <v>0</v>
      </c>
      <c r="M269" s="1">
        <f t="shared" ref="M269" si="588">M268-M270</f>
        <v>0</v>
      </c>
      <c r="N269" s="1">
        <f t="shared" ref="N269" si="589">N268-N270</f>
        <v>0</v>
      </c>
      <c r="O269" s="1">
        <f t="shared" ref="O269" si="590">O268-O270</f>
        <v>0</v>
      </c>
      <c r="P269" s="1">
        <f t="shared" ref="P269" si="591">P268-P270</f>
        <v>0</v>
      </c>
      <c r="Q269" s="1">
        <f t="shared" ref="Q269" si="592">Q268-Q270</f>
        <v>0</v>
      </c>
      <c r="R269" s="1">
        <f t="shared" ref="R269" si="593">R268-R270</f>
        <v>0</v>
      </c>
      <c r="S269" s="1">
        <f t="shared" ref="S269" si="594">S268-S270</f>
        <v>0</v>
      </c>
      <c r="T269" s="1">
        <f t="shared" ref="T269" si="595">T268-T270</f>
        <v>0</v>
      </c>
      <c r="U269" s="1">
        <f t="shared" ref="U269" si="596">U268-U270</f>
        <v>0</v>
      </c>
      <c r="V269" s="1">
        <f t="shared" ref="V269" si="597">V268-V270</f>
        <v>0</v>
      </c>
      <c r="W269" s="1">
        <f t="shared" ref="W269" si="598">W268-W270</f>
        <v>0</v>
      </c>
      <c r="X269" s="1">
        <f t="shared" ref="X269" si="599">X268-X270</f>
        <v>0</v>
      </c>
      <c r="Y269" s="1">
        <f t="shared" ref="Y269" si="600">Y268-Y270</f>
        <v>0</v>
      </c>
      <c r="Z269" s="1">
        <f t="shared" ref="Z269" si="601">Z268-Z270</f>
        <v>0</v>
      </c>
      <c r="AA269" s="1">
        <f t="shared" ref="AA269" si="602">AA268-AA270</f>
        <v>0</v>
      </c>
      <c r="AB269" s="1">
        <f t="shared" ref="AB269" si="603">AB268-AB270</f>
        <v>0</v>
      </c>
      <c r="AC269" s="1">
        <f t="shared" ref="AC269" si="604">AC268-AC270</f>
        <v>0</v>
      </c>
      <c r="AD269" s="1">
        <f t="shared" ref="AD269" si="605">AD268-AD270</f>
        <v>0</v>
      </c>
      <c r="AE269" s="1">
        <f t="shared" ref="AE269" si="606">AE268-AE270</f>
        <v>0</v>
      </c>
    </row>
    <row r="270" spans="1:31" outlineLevel="2" x14ac:dyDescent="0.2">
      <c r="A270" s="2" t="s">
        <v>413</v>
      </c>
      <c r="B270" s="1">
        <f t="shared" ref="B270:AE270" si="607">IF($B263=B267,B268,0)</f>
        <v>0</v>
      </c>
      <c r="C270" s="1">
        <f t="shared" si="607"/>
        <v>0</v>
      </c>
      <c r="D270" s="1">
        <f t="shared" si="607"/>
        <v>0</v>
      </c>
      <c r="E270" s="1">
        <f t="shared" si="607"/>
        <v>0</v>
      </c>
      <c r="F270" s="1">
        <f t="shared" si="607"/>
        <v>0</v>
      </c>
      <c r="G270" s="1">
        <f t="shared" si="607"/>
        <v>0</v>
      </c>
      <c r="H270" s="1">
        <f t="shared" si="607"/>
        <v>0</v>
      </c>
      <c r="I270" s="1">
        <f t="shared" si="607"/>
        <v>0</v>
      </c>
      <c r="J270" s="1">
        <f t="shared" si="607"/>
        <v>0</v>
      </c>
      <c r="K270" s="1">
        <f t="shared" si="607"/>
        <v>0</v>
      </c>
      <c r="L270" s="1">
        <f t="shared" si="607"/>
        <v>0</v>
      </c>
      <c r="M270" s="1">
        <f t="shared" si="607"/>
        <v>0</v>
      </c>
      <c r="N270" s="1">
        <f t="shared" si="607"/>
        <v>0</v>
      </c>
      <c r="O270" s="1">
        <f t="shared" si="607"/>
        <v>0</v>
      </c>
      <c r="P270" s="1">
        <f t="shared" si="607"/>
        <v>0</v>
      </c>
      <c r="Q270" s="1">
        <f t="shared" si="607"/>
        <v>0</v>
      </c>
      <c r="R270" s="1">
        <f t="shared" si="607"/>
        <v>0</v>
      </c>
      <c r="S270" s="1">
        <f t="shared" si="607"/>
        <v>0</v>
      </c>
      <c r="T270" s="1">
        <f t="shared" si="607"/>
        <v>0</v>
      </c>
      <c r="U270" s="1">
        <f t="shared" si="607"/>
        <v>0</v>
      </c>
      <c r="V270" s="1">
        <f t="shared" si="607"/>
        <v>0</v>
      </c>
      <c r="W270" s="1">
        <f t="shared" si="607"/>
        <v>0</v>
      </c>
      <c r="X270" s="1">
        <f t="shared" si="607"/>
        <v>0</v>
      </c>
      <c r="Y270" s="1">
        <f t="shared" si="607"/>
        <v>0</v>
      </c>
      <c r="Z270" s="1">
        <f t="shared" si="607"/>
        <v>0</v>
      </c>
      <c r="AA270" s="1">
        <f t="shared" si="607"/>
        <v>0</v>
      </c>
      <c r="AB270" s="1">
        <f t="shared" si="607"/>
        <v>0</v>
      </c>
      <c r="AC270" s="1">
        <f t="shared" si="607"/>
        <v>0</v>
      </c>
      <c r="AD270" s="1">
        <f t="shared" si="607"/>
        <v>0</v>
      </c>
      <c r="AE270" s="1">
        <f t="shared" si="607"/>
        <v>0</v>
      </c>
    </row>
    <row r="271" spans="1:31" outlineLevel="2" x14ac:dyDescent="0.2">
      <c r="A271" s="2" t="s">
        <v>414</v>
      </c>
      <c r="B271" s="1">
        <f t="shared" ref="B271:AE271" si="608">IF($B263&gt;=B267,B268*$B262,0)</f>
        <v>0</v>
      </c>
      <c r="C271" s="1">
        <f t="shared" si="608"/>
        <v>0</v>
      </c>
      <c r="D271" s="1">
        <f t="shared" si="608"/>
        <v>0</v>
      </c>
      <c r="E271" s="1">
        <f t="shared" si="608"/>
        <v>0</v>
      </c>
      <c r="F271" s="1">
        <f t="shared" si="608"/>
        <v>0</v>
      </c>
      <c r="G271" s="1">
        <f t="shared" si="608"/>
        <v>0</v>
      </c>
      <c r="H271" s="1">
        <f t="shared" si="608"/>
        <v>0</v>
      </c>
      <c r="I271" s="1">
        <f t="shared" si="608"/>
        <v>0</v>
      </c>
      <c r="J271" s="1">
        <f t="shared" si="608"/>
        <v>0</v>
      </c>
      <c r="K271" s="1">
        <f t="shared" si="608"/>
        <v>0</v>
      </c>
      <c r="L271" s="1">
        <f t="shared" si="608"/>
        <v>0</v>
      </c>
      <c r="M271" s="1">
        <f t="shared" si="608"/>
        <v>0</v>
      </c>
      <c r="N271" s="1">
        <f t="shared" si="608"/>
        <v>0</v>
      </c>
      <c r="O271" s="1">
        <f t="shared" si="608"/>
        <v>0</v>
      </c>
      <c r="P271" s="1">
        <f t="shared" si="608"/>
        <v>0</v>
      </c>
      <c r="Q271" s="1">
        <f t="shared" si="608"/>
        <v>0</v>
      </c>
      <c r="R271" s="1">
        <f t="shared" si="608"/>
        <v>0</v>
      </c>
      <c r="S271" s="1">
        <f t="shared" si="608"/>
        <v>0</v>
      </c>
      <c r="T271" s="1">
        <f t="shared" si="608"/>
        <v>0</v>
      </c>
      <c r="U271" s="1">
        <f t="shared" si="608"/>
        <v>0</v>
      </c>
      <c r="V271" s="1">
        <f t="shared" si="608"/>
        <v>0</v>
      </c>
      <c r="W271" s="1">
        <f t="shared" si="608"/>
        <v>0</v>
      </c>
      <c r="X271" s="1">
        <f t="shared" si="608"/>
        <v>0</v>
      </c>
      <c r="Y271" s="1">
        <f t="shared" si="608"/>
        <v>0</v>
      </c>
      <c r="Z271" s="1">
        <f t="shared" si="608"/>
        <v>0</v>
      </c>
      <c r="AA271" s="1">
        <f t="shared" si="608"/>
        <v>0</v>
      </c>
      <c r="AB271" s="1">
        <f t="shared" si="608"/>
        <v>0</v>
      </c>
      <c r="AC271" s="1">
        <f t="shared" si="608"/>
        <v>0</v>
      </c>
      <c r="AD271" s="1">
        <f t="shared" si="608"/>
        <v>0</v>
      </c>
      <c r="AE271" s="1">
        <f t="shared" si="608"/>
        <v>0</v>
      </c>
    </row>
    <row r="272" spans="1:31" outlineLevel="2" x14ac:dyDescent="0.2">
      <c r="A272" s="2" t="s">
        <v>422</v>
      </c>
      <c r="B272" s="1">
        <f>B270+B271</f>
        <v>0</v>
      </c>
      <c r="C272" s="1">
        <f t="shared" ref="C272:AE272" si="609">C270+C271</f>
        <v>0</v>
      </c>
      <c r="D272" s="1">
        <f t="shared" si="609"/>
        <v>0</v>
      </c>
      <c r="E272" s="1">
        <f>E270+E271</f>
        <v>0</v>
      </c>
      <c r="F272" s="1">
        <f t="shared" si="609"/>
        <v>0</v>
      </c>
      <c r="G272" s="1">
        <f t="shared" si="609"/>
        <v>0</v>
      </c>
      <c r="H272" s="1">
        <f t="shared" si="609"/>
        <v>0</v>
      </c>
      <c r="I272" s="1">
        <f t="shared" si="609"/>
        <v>0</v>
      </c>
      <c r="J272" s="1">
        <f t="shared" si="609"/>
        <v>0</v>
      </c>
      <c r="K272" s="1">
        <f t="shared" si="609"/>
        <v>0</v>
      </c>
      <c r="L272" s="1">
        <f t="shared" si="609"/>
        <v>0</v>
      </c>
      <c r="M272" s="1">
        <f t="shared" si="609"/>
        <v>0</v>
      </c>
      <c r="N272" s="1">
        <f t="shared" si="609"/>
        <v>0</v>
      </c>
      <c r="O272" s="1">
        <f t="shared" si="609"/>
        <v>0</v>
      </c>
      <c r="P272" s="1">
        <f t="shared" si="609"/>
        <v>0</v>
      </c>
      <c r="Q272" s="1">
        <f t="shared" si="609"/>
        <v>0</v>
      </c>
      <c r="R272" s="1">
        <f t="shared" si="609"/>
        <v>0</v>
      </c>
      <c r="S272" s="1">
        <f t="shared" si="609"/>
        <v>0</v>
      </c>
      <c r="T272" s="1">
        <f t="shared" si="609"/>
        <v>0</v>
      </c>
      <c r="U272" s="1">
        <f t="shared" si="609"/>
        <v>0</v>
      </c>
      <c r="V272" s="1">
        <f t="shared" si="609"/>
        <v>0</v>
      </c>
      <c r="W272" s="1">
        <f t="shared" si="609"/>
        <v>0</v>
      </c>
      <c r="X272" s="1">
        <f t="shared" si="609"/>
        <v>0</v>
      </c>
      <c r="Y272" s="1">
        <f t="shared" si="609"/>
        <v>0</v>
      </c>
      <c r="Z272" s="1">
        <f t="shared" si="609"/>
        <v>0</v>
      </c>
      <c r="AA272" s="1">
        <f t="shared" si="609"/>
        <v>0</v>
      </c>
      <c r="AB272" s="1">
        <f t="shared" si="609"/>
        <v>0</v>
      </c>
      <c r="AC272" s="1">
        <f t="shared" si="609"/>
        <v>0</v>
      </c>
      <c r="AD272" s="1">
        <f t="shared" si="609"/>
        <v>0</v>
      </c>
      <c r="AE272" s="1">
        <f t="shared" si="609"/>
        <v>0</v>
      </c>
    </row>
    <row r="273" spans="1:31" outlineLevel="1" x14ac:dyDescent="0.2">
      <c r="A273" s="13"/>
    </row>
    <row r="274" spans="1:31" ht="15" outlineLevel="2" x14ac:dyDescent="0.25">
      <c r="A274" s="292" t="str">
        <f>assumptions!A37</f>
        <v>[Additional Field - Specify] (Non-Amortizing)</v>
      </c>
      <c r="B274" s="1"/>
    </row>
    <row r="275" spans="1:31" outlineLevel="2" x14ac:dyDescent="0.2">
      <c r="A275" s="2"/>
      <c r="B275" s="1"/>
    </row>
    <row r="276" spans="1:31" outlineLevel="2" x14ac:dyDescent="0.2">
      <c r="A276" s="297" t="s">
        <v>413</v>
      </c>
      <c r="B276" s="1">
        <f>assumptions!B37</f>
        <v>0</v>
      </c>
    </row>
    <row r="277" spans="1:31" outlineLevel="2" x14ac:dyDescent="0.2">
      <c r="A277" s="297" t="s">
        <v>414</v>
      </c>
      <c r="B277" s="482">
        <f>assumptions!D37</f>
        <v>0</v>
      </c>
    </row>
    <row r="278" spans="1:31" outlineLevel="2" x14ac:dyDescent="0.2">
      <c r="A278" s="297" t="s">
        <v>416</v>
      </c>
      <c r="B278" s="1">
        <f>IF(assumptions!F37="deferred",0,assumptions!F37)</f>
        <v>0</v>
      </c>
    </row>
    <row r="279" spans="1:31" outlineLevel="2" x14ac:dyDescent="0.2">
      <c r="A279" s="297" t="s">
        <v>417</v>
      </c>
      <c r="B279" s="1">
        <f>B276*(B277/12)</f>
        <v>0</v>
      </c>
    </row>
    <row r="280" spans="1:31" outlineLevel="2" x14ac:dyDescent="0.2">
      <c r="A280" s="297" t="s">
        <v>418</v>
      </c>
      <c r="B280" s="72">
        <f>B279*12</f>
        <v>0</v>
      </c>
    </row>
    <row r="281" spans="1:31" outlineLevel="2" x14ac:dyDescent="0.2">
      <c r="A281" s="13"/>
    </row>
    <row r="282" spans="1:31" outlineLevel="2" x14ac:dyDescent="0.2">
      <c r="A282" s="295" t="s">
        <v>419</v>
      </c>
      <c r="B282" s="294">
        <v>1</v>
      </c>
      <c r="C282" s="294">
        <f t="shared" ref="C282" si="610">B282+1</f>
        <v>2</v>
      </c>
      <c r="D282" s="294">
        <f t="shared" ref="D282" si="611">C282+1</f>
        <v>3</v>
      </c>
      <c r="E282" s="294">
        <f t="shared" ref="E282" si="612">D282+1</f>
        <v>4</v>
      </c>
      <c r="F282" s="294">
        <f t="shared" ref="F282" si="613">E282+1</f>
        <v>5</v>
      </c>
      <c r="G282" s="294">
        <f t="shared" ref="G282" si="614">F282+1</f>
        <v>6</v>
      </c>
      <c r="H282" s="294">
        <f t="shared" ref="H282" si="615">G282+1</f>
        <v>7</v>
      </c>
      <c r="I282" s="294">
        <f t="shared" ref="I282" si="616">H282+1</f>
        <v>8</v>
      </c>
      <c r="J282" s="294">
        <f t="shared" ref="J282" si="617">I282+1</f>
        <v>9</v>
      </c>
      <c r="K282" s="294">
        <f t="shared" ref="K282" si="618">J282+1</f>
        <v>10</v>
      </c>
      <c r="L282" s="294">
        <f t="shared" ref="L282" si="619">K282+1</f>
        <v>11</v>
      </c>
      <c r="M282" s="294">
        <f t="shared" ref="M282" si="620">L282+1</f>
        <v>12</v>
      </c>
      <c r="N282" s="294">
        <f t="shared" ref="N282" si="621">M282+1</f>
        <v>13</v>
      </c>
      <c r="O282" s="294">
        <f t="shared" ref="O282" si="622">N282+1</f>
        <v>14</v>
      </c>
      <c r="P282" s="294">
        <f t="shared" ref="P282" si="623">O282+1</f>
        <v>15</v>
      </c>
      <c r="Q282" s="294">
        <f t="shared" ref="Q282" si="624">P282+1</f>
        <v>16</v>
      </c>
      <c r="R282" s="294">
        <f t="shared" ref="R282" si="625">Q282+1</f>
        <v>17</v>
      </c>
      <c r="S282" s="294">
        <f t="shared" ref="S282" si="626">R282+1</f>
        <v>18</v>
      </c>
      <c r="T282" s="294">
        <f t="shared" ref="T282" si="627">S282+1</f>
        <v>19</v>
      </c>
      <c r="U282" s="294">
        <f t="shared" ref="U282" si="628">T282+1</f>
        <v>20</v>
      </c>
      <c r="V282" s="294">
        <f t="shared" ref="V282" si="629">U282+1</f>
        <v>21</v>
      </c>
      <c r="W282" s="294">
        <f t="shared" ref="W282" si="630">V282+1</f>
        <v>22</v>
      </c>
      <c r="X282" s="294">
        <f t="shared" ref="X282" si="631">W282+1</f>
        <v>23</v>
      </c>
      <c r="Y282" s="294">
        <f t="shared" ref="Y282" si="632">X282+1</f>
        <v>24</v>
      </c>
      <c r="Z282" s="294">
        <f t="shared" ref="Z282" si="633">Y282+1</f>
        <v>25</v>
      </c>
      <c r="AA282" s="294">
        <f t="shared" ref="AA282" si="634">Z282+1</f>
        <v>26</v>
      </c>
      <c r="AB282" s="294">
        <f t="shared" ref="AB282" si="635">AA282+1</f>
        <v>27</v>
      </c>
      <c r="AC282" s="294">
        <f t="shared" ref="AC282" si="636">AB282+1</f>
        <v>28</v>
      </c>
      <c r="AD282" s="294">
        <f t="shared" ref="AD282" si="637">AC282+1</f>
        <v>29</v>
      </c>
      <c r="AE282" s="294">
        <f t="shared" ref="AE282" si="638">AD282+1</f>
        <v>30</v>
      </c>
    </row>
    <row r="283" spans="1:31" outlineLevel="2" x14ac:dyDescent="0.2">
      <c r="A283" s="2" t="s">
        <v>420</v>
      </c>
      <c r="B283" s="1">
        <f>B276</f>
        <v>0</v>
      </c>
      <c r="C283" s="1">
        <f>B284</f>
        <v>0</v>
      </c>
      <c r="D283" s="1">
        <f t="shared" ref="D283" si="639">C284</f>
        <v>0</v>
      </c>
      <c r="E283" s="1">
        <f t="shared" ref="E283" si="640">D284</f>
        <v>0</v>
      </c>
      <c r="F283" s="1">
        <f t="shared" ref="F283" si="641">E284</f>
        <v>0</v>
      </c>
      <c r="G283" s="1">
        <f t="shared" ref="G283" si="642">F284</f>
        <v>0</v>
      </c>
      <c r="H283" s="1">
        <f t="shared" ref="H283" si="643">G284</f>
        <v>0</v>
      </c>
      <c r="I283" s="1">
        <f t="shared" ref="I283" si="644">H284</f>
        <v>0</v>
      </c>
      <c r="J283" s="1">
        <f t="shared" ref="J283" si="645">I284</f>
        <v>0</v>
      </c>
      <c r="K283" s="1">
        <f t="shared" ref="K283" si="646">J284</f>
        <v>0</v>
      </c>
      <c r="L283" s="1">
        <f t="shared" ref="L283" si="647">K284</f>
        <v>0</v>
      </c>
      <c r="M283" s="1">
        <f t="shared" ref="M283" si="648">L284</f>
        <v>0</v>
      </c>
      <c r="N283" s="1">
        <f t="shared" ref="N283" si="649">M284</f>
        <v>0</v>
      </c>
      <c r="O283" s="1">
        <f t="shared" ref="O283" si="650">N284</f>
        <v>0</v>
      </c>
      <c r="P283" s="1">
        <f t="shared" ref="P283" si="651">O284</f>
        <v>0</v>
      </c>
      <c r="Q283" s="1">
        <f t="shared" ref="Q283" si="652">P284</f>
        <v>0</v>
      </c>
      <c r="R283" s="1">
        <f t="shared" ref="R283" si="653">Q284</f>
        <v>0</v>
      </c>
      <c r="S283" s="1">
        <f t="shared" ref="S283" si="654">R284</f>
        <v>0</v>
      </c>
      <c r="T283" s="1">
        <f t="shared" ref="T283" si="655">S284</f>
        <v>0</v>
      </c>
      <c r="U283" s="1">
        <f t="shared" ref="U283" si="656">T284</f>
        <v>0</v>
      </c>
      <c r="V283" s="1">
        <f t="shared" ref="V283" si="657">U284</f>
        <v>0</v>
      </c>
      <c r="W283" s="1">
        <f t="shared" ref="W283" si="658">V284</f>
        <v>0</v>
      </c>
      <c r="X283" s="1">
        <f t="shared" ref="X283" si="659">W284</f>
        <v>0</v>
      </c>
      <c r="Y283" s="1">
        <f t="shared" ref="Y283" si="660">X284</f>
        <v>0</v>
      </c>
      <c r="Z283" s="1">
        <f t="shared" ref="Z283" si="661">Y284</f>
        <v>0</v>
      </c>
      <c r="AA283" s="1">
        <f t="shared" ref="AA283" si="662">Z284</f>
        <v>0</v>
      </c>
      <c r="AB283" s="1">
        <f t="shared" ref="AB283" si="663">AA284</f>
        <v>0</v>
      </c>
      <c r="AC283" s="1">
        <f t="shared" ref="AC283" si="664">AB284</f>
        <v>0</v>
      </c>
      <c r="AD283" s="1">
        <f t="shared" ref="AD283" si="665">AC284</f>
        <v>0</v>
      </c>
      <c r="AE283" s="1">
        <f t="shared" ref="AE283" si="666">AD284</f>
        <v>0</v>
      </c>
    </row>
    <row r="284" spans="1:31" outlineLevel="2" x14ac:dyDescent="0.2">
      <c r="A284" s="2" t="s">
        <v>421</v>
      </c>
      <c r="B284" s="1">
        <f>B283-B285</f>
        <v>0</v>
      </c>
      <c r="C284" s="1">
        <f t="shared" ref="C284" si="667">C283-C285</f>
        <v>0</v>
      </c>
      <c r="D284" s="1">
        <f t="shared" ref="D284" si="668">D283-D285</f>
        <v>0</v>
      </c>
      <c r="E284" s="1">
        <f>E283-E285</f>
        <v>0</v>
      </c>
      <c r="F284" s="1">
        <f t="shared" ref="F284" si="669">F283-F285</f>
        <v>0</v>
      </c>
      <c r="G284" s="1">
        <f t="shared" ref="G284" si="670">G283-G285</f>
        <v>0</v>
      </c>
      <c r="H284" s="1">
        <f t="shared" ref="H284" si="671">H283-H285</f>
        <v>0</v>
      </c>
      <c r="I284" s="1">
        <f t="shared" ref="I284" si="672">I283-I285</f>
        <v>0</v>
      </c>
      <c r="J284" s="1">
        <f t="shared" ref="J284" si="673">J283-J285</f>
        <v>0</v>
      </c>
      <c r="K284" s="1">
        <f t="shared" ref="K284" si="674">K283-K285</f>
        <v>0</v>
      </c>
      <c r="L284" s="1">
        <f t="shared" ref="L284" si="675">L283-L285</f>
        <v>0</v>
      </c>
      <c r="M284" s="1">
        <f t="shared" ref="M284" si="676">M283-M285</f>
        <v>0</v>
      </c>
      <c r="N284" s="1">
        <f t="shared" ref="N284" si="677">N283-N285</f>
        <v>0</v>
      </c>
      <c r="O284" s="1">
        <f t="shared" ref="O284" si="678">O283-O285</f>
        <v>0</v>
      </c>
      <c r="P284" s="1">
        <f t="shared" ref="P284" si="679">P283-P285</f>
        <v>0</v>
      </c>
      <c r="Q284" s="1">
        <f t="shared" ref="Q284" si="680">Q283-Q285</f>
        <v>0</v>
      </c>
      <c r="R284" s="1">
        <f t="shared" ref="R284" si="681">R283-R285</f>
        <v>0</v>
      </c>
      <c r="S284" s="1">
        <f t="shared" ref="S284" si="682">S283-S285</f>
        <v>0</v>
      </c>
      <c r="T284" s="1">
        <f t="shared" ref="T284" si="683">T283-T285</f>
        <v>0</v>
      </c>
      <c r="U284" s="1">
        <f t="shared" ref="U284" si="684">U283-U285</f>
        <v>0</v>
      </c>
      <c r="V284" s="1">
        <f t="shared" ref="V284" si="685">V283-V285</f>
        <v>0</v>
      </c>
      <c r="W284" s="1">
        <f t="shared" ref="W284" si="686">W283-W285</f>
        <v>0</v>
      </c>
      <c r="X284" s="1">
        <f t="shared" ref="X284" si="687">X283-X285</f>
        <v>0</v>
      </c>
      <c r="Y284" s="1">
        <f t="shared" ref="Y284" si="688">Y283-Y285</f>
        <v>0</v>
      </c>
      <c r="Z284" s="1">
        <f t="shared" ref="Z284" si="689">Z283-Z285</f>
        <v>0</v>
      </c>
      <c r="AA284" s="1">
        <f t="shared" ref="AA284" si="690">AA283-AA285</f>
        <v>0</v>
      </c>
      <c r="AB284" s="1">
        <f t="shared" ref="AB284" si="691">AB283-AB285</f>
        <v>0</v>
      </c>
      <c r="AC284" s="1">
        <f t="shared" ref="AC284" si="692">AC283-AC285</f>
        <v>0</v>
      </c>
      <c r="AD284" s="1">
        <f t="shared" ref="AD284" si="693">AD283-AD285</f>
        <v>0</v>
      </c>
      <c r="AE284" s="1">
        <f t="shared" ref="AE284" si="694">AE283-AE285</f>
        <v>0</v>
      </c>
    </row>
    <row r="285" spans="1:31" outlineLevel="2" x14ac:dyDescent="0.2">
      <c r="A285" s="2" t="s">
        <v>413</v>
      </c>
      <c r="B285" s="1">
        <f>IF($B278=B282,B283,0)</f>
        <v>0</v>
      </c>
      <c r="C285" s="1">
        <f>IF($B278=C282,C283,0)</f>
        <v>0</v>
      </c>
      <c r="D285" s="1">
        <f>IF($B278=D282,D283,0)</f>
        <v>0</v>
      </c>
      <c r="E285" s="1">
        <f>IF($B278=E282,E283,0)</f>
        <v>0</v>
      </c>
      <c r="F285" s="1">
        <f t="shared" ref="F285:AE285" si="695">IF($B278=F282,F283,0)</f>
        <v>0</v>
      </c>
      <c r="G285" s="1">
        <f t="shared" si="695"/>
        <v>0</v>
      </c>
      <c r="H285" s="1">
        <f t="shared" si="695"/>
        <v>0</v>
      </c>
      <c r="I285" s="1">
        <f t="shared" si="695"/>
        <v>0</v>
      </c>
      <c r="J285" s="1">
        <f t="shared" si="695"/>
        <v>0</v>
      </c>
      <c r="K285" s="1">
        <f t="shared" si="695"/>
        <v>0</v>
      </c>
      <c r="L285" s="1">
        <f t="shared" si="695"/>
        <v>0</v>
      </c>
      <c r="M285" s="1">
        <f t="shared" si="695"/>
        <v>0</v>
      </c>
      <c r="N285" s="1">
        <f t="shared" si="695"/>
        <v>0</v>
      </c>
      <c r="O285" s="1">
        <f t="shared" si="695"/>
        <v>0</v>
      </c>
      <c r="P285" s="1">
        <f t="shared" si="695"/>
        <v>0</v>
      </c>
      <c r="Q285" s="1">
        <f t="shared" si="695"/>
        <v>0</v>
      </c>
      <c r="R285" s="1">
        <f t="shared" si="695"/>
        <v>0</v>
      </c>
      <c r="S285" s="1">
        <f t="shared" si="695"/>
        <v>0</v>
      </c>
      <c r="T285" s="1">
        <f t="shared" si="695"/>
        <v>0</v>
      </c>
      <c r="U285" s="1">
        <f t="shared" si="695"/>
        <v>0</v>
      </c>
      <c r="V285" s="1">
        <f t="shared" si="695"/>
        <v>0</v>
      </c>
      <c r="W285" s="1">
        <f t="shared" si="695"/>
        <v>0</v>
      </c>
      <c r="X285" s="1">
        <f t="shared" si="695"/>
        <v>0</v>
      </c>
      <c r="Y285" s="1">
        <f t="shared" si="695"/>
        <v>0</v>
      </c>
      <c r="Z285" s="1">
        <f t="shared" si="695"/>
        <v>0</v>
      </c>
      <c r="AA285" s="1">
        <f t="shared" si="695"/>
        <v>0</v>
      </c>
      <c r="AB285" s="1">
        <f t="shared" si="695"/>
        <v>0</v>
      </c>
      <c r="AC285" s="1">
        <f t="shared" si="695"/>
        <v>0</v>
      </c>
      <c r="AD285" s="1">
        <f t="shared" si="695"/>
        <v>0</v>
      </c>
      <c r="AE285" s="1">
        <f t="shared" si="695"/>
        <v>0</v>
      </c>
    </row>
    <row r="286" spans="1:31" outlineLevel="2" x14ac:dyDescent="0.2">
      <c r="A286" s="2" t="s">
        <v>414</v>
      </c>
      <c r="B286" s="1">
        <f>IF($B278&gt;=B282,B283*$B277,0)</f>
        <v>0</v>
      </c>
      <c r="C286" s="1">
        <f t="shared" ref="C286:AE286" si="696">IF($B278&gt;=C282,C283*$B277,0)</f>
        <v>0</v>
      </c>
      <c r="D286" s="1">
        <f>IF($B278&gt;=D282,D283*$B277,0)</f>
        <v>0</v>
      </c>
      <c r="E286" s="1">
        <f t="shared" si="696"/>
        <v>0</v>
      </c>
      <c r="F286" s="1">
        <f t="shared" si="696"/>
        <v>0</v>
      </c>
      <c r="G286" s="1">
        <f t="shared" si="696"/>
        <v>0</v>
      </c>
      <c r="H286" s="1">
        <f t="shared" si="696"/>
        <v>0</v>
      </c>
      <c r="I286" s="1">
        <f t="shared" si="696"/>
        <v>0</v>
      </c>
      <c r="J286" s="1">
        <f>IF($B278&gt;=J282,J283*$B277,0)</f>
        <v>0</v>
      </c>
      <c r="K286" s="1">
        <f t="shared" si="696"/>
        <v>0</v>
      </c>
      <c r="L286" s="1">
        <f t="shared" si="696"/>
        <v>0</v>
      </c>
      <c r="M286" s="1">
        <f t="shared" si="696"/>
        <v>0</v>
      </c>
      <c r="N286" s="1">
        <f t="shared" si="696"/>
        <v>0</v>
      </c>
      <c r="O286" s="1">
        <f t="shared" si="696"/>
        <v>0</v>
      </c>
      <c r="P286" s="1">
        <f t="shared" si="696"/>
        <v>0</v>
      </c>
      <c r="Q286" s="1">
        <f t="shared" si="696"/>
        <v>0</v>
      </c>
      <c r="R286" s="1">
        <f t="shared" si="696"/>
        <v>0</v>
      </c>
      <c r="S286" s="1">
        <f t="shared" si="696"/>
        <v>0</v>
      </c>
      <c r="T286" s="1">
        <f t="shared" si="696"/>
        <v>0</v>
      </c>
      <c r="U286" s="1">
        <f t="shared" si="696"/>
        <v>0</v>
      </c>
      <c r="V286" s="1">
        <f t="shared" si="696"/>
        <v>0</v>
      </c>
      <c r="W286" s="1">
        <f t="shared" si="696"/>
        <v>0</v>
      </c>
      <c r="X286" s="1">
        <f t="shared" si="696"/>
        <v>0</v>
      </c>
      <c r="Y286" s="1">
        <f t="shared" si="696"/>
        <v>0</v>
      </c>
      <c r="Z286" s="1">
        <f t="shared" si="696"/>
        <v>0</v>
      </c>
      <c r="AA286" s="1">
        <f t="shared" si="696"/>
        <v>0</v>
      </c>
      <c r="AB286" s="1">
        <f t="shared" si="696"/>
        <v>0</v>
      </c>
      <c r="AC286" s="1">
        <f t="shared" si="696"/>
        <v>0</v>
      </c>
      <c r="AD286" s="1">
        <f t="shared" si="696"/>
        <v>0</v>
      </c>
      <c r="AE286" s="1">
        <f t="shared" si="696"/>
        <v>0</v>
      </c>
    </row>
    <row r="287" spans="1:31" outlineLevel="2" x14ac:dyDescent="0.2">
      <c r="A287" s="2" t="s">
        <v>422</v>
      </c>
      <c r="B287" s="1">
        <f>B285+B286</f>
        <v>0</v>
      </c>
      <c r="C287" s="1">
        <f t="shared" ref="C287:D287" si="697">C285+C286</f>
        <v>0</v>
      </c>
      <c r="D287" s="1">
        <f t="shared" si="697"/>
        <v>0</v>
      </c>
      <c r="E287" s="1">
        <f>E285+E286</f>
        <v>0</v>
      </c>
      <c r="F287" s="1">
        <f t="shared" ref="F287:AE287" si="698">F285+F286</f>
        <v>0</v>
      </c>
      <c r="G287" s="1">
        <f t="shared" si="698"/>
        <v>0</v>
      </c>
      <c r="H287" s="1">
        <f t="shared" si="698"/>
        <v>0</v>
      </c>
      <c r="I287" s="1">
        <f t="shared" si="698"/>
        <v>0</v>
      </c>
      <c r="J287" s="1">
        <f t="shared" si="698"/>
        <v>0</v>
      </c>
      <c r="K287" s="1">
        <f t="shared" si="698"/>
        <v>0</v>
      </c>
      <c r="L287" s="1">
        <f t="shared" si="698"/>
        <v>0</v>
      </c>
      <c r="M287" s="1">
        <f t="shared" si="698"/>
        <v>0</v>
      </c>
      <c r="N287" s="1">
        <f t="shared" si="698"/>
        <v>0</v>
      </c>
      <c r="O287" s="1">
        <f t="shared" si="698"/>
        <v>0</v>
      </c>
      <c r="P287" s="1">
        <f t="shared" si="698"/>
        <v>0</v>
      </c>
      <c r="Q287" s="1">
        <f t="shared" si="698"/>
        <v>0</v>
      </c>
      <c r="R287" s="1">
        <f t="shared" si="698"/>
        <v>0</v>
      </c>
      <c r="S287" s="1">
        <f t="shared" si="698"/>
        <v>0</v>
      </c>
      <c r="T287" s="1">
        <f t="shared" si="698"/>
        <v>0</v>
      </c>
      <c r="U287" s="1">
        <f t="shared" si="698"/>
        <v>0</v>
      </c>
      <c r="V287" s="1">
        <f t="shared" si="698"/>
        <v>0</v>
      </c>
      <c r="W287" s="1">
        <f t="shared" si="698"/>
        <v>0</v>
      </c>
      <c r="X287" s="1">
        <f t="shared" si="698"/>
        <v>0</v>
      </c>
      <c r="Y287" s="1">
        <f t="shared" si="698"/>
        <v>0</v>
      </c>
      <c r="Z287" s="1">
        <f t="shared" si="698"/>
        <v>0</v>
      </c>
      <c r="AA287" s="1">
        <f t="shared" si="698"/>
        <v>0</v>
      </c>
      <c r="AB287" s="1">
        <f t="shared" si="698"/>
        <v>0</v>
      </c>
      <c r="AC287" s="1">
        <f t="shared" si="698"/>
        <v>0</v>
      </c>
      <c r="AD287" s="1">
        <f t="shared" si="698"/>
        <v>0</v>
      </c>
      <c r="AE287" s="1">
        <f t="shared" si="698"/>
        <v>0</v>
      </c>
    </row>
    <row r="288" spans="1:31" outlineLevel="1" x14ac:dyDescent="0.2">
      <c r="A288" s="13"/>
    </row>
    <row r="289" spans="1:31" ht="15" outlineLevel="2" x14ac:dyDescent="0.25">
      <c r="A289" s="292" t="str">
        <f>assumptions!A38</f>
        <v>[Additional Field - Specify] (Non-Amortizing)</v>
      </c>
      <c r="B289" s="1"/>
    </row>
    <row r="290" spans="1:31" outlineLevel="2" x14ac:dyDescent="0.2">
      <c r="A290" s="2"/>
      <c r="B290" s="1"/>
    </row>
    <row r="291" spans="1:31" outlineLevel="2" x14ac:dyDescent="0.2">
      <c r="A291" s="297" t="s">
        <v>413</v>
      </c>
      <c r="B291" s="1">
        <f>assumptions!B38</f>
        <v>0</v>
      </c>
    </row>
    <row r="292" spans="1:31" outlineLevel="2" x14ac:dyDescent="0.2">
      <c r="A292" s="297" t="s">
        <v>414</v>
      </c>
      <c r="B292" s="482">
        <f>assumptions!D38</f>
        <v>0</v>
      </c>
    </row>
    <row r="293" spans="1:31" outlineLevel="2" x14ac:dyDescent="0.2">
      <c r="A293" s="297" t="s">
        <v>416</v>
      </c>
      <c r="B293" s="1">
        <f>IF(assumptions!F38="deferred",0,assumptions!F38)</f>
        <v>0</v>
      </c>
    </row>
    <row r="294" spans="1:31" outlineLevel="2" x14ac:dyDescent="0.2">
      <c r="A294" s="297" t="s">
        <v>417</v>
      </c>
      <c r="B294" s="1">
        <f>B291*(B292/12)</f>
        <v>0</v>
      </c>
    </row>
    <row r="295" spans="1:31" outlineLevel="2" x14ac:dyDescent="0.2">
      <c r="A295" s="297" t="s">
        <v>418</v>
      </c>
      <c r="B295" s="72">
        <f>B294*12</f>
        <v>0</v>
      </c>
    </row>
    <row r="296" spans="1:31" outlineLevel="2" x14ac:dyDescent="0.2">
      <c r="A296" s="13"/>
    </row>
    <row r="297" spans="1:31" outlineLevel="2" x14ac:dyDescent="0.2">
      <c r="A297" s="295" t="s">
        <v>419</v>
      </c>
      <c r="B297" s="294">
        <v>1</v>
      </c>
      <c r="C297" s="294">
        <f t="shared" ref="C297" si="699">B297+1</f>
        <v>2</v>
      </c>
      <c r="D297" s="294">
        <f t="shared" ref="D297" si="700">C297+1</f>
        <v>3</v>
      </c>
      <c r="E297" s="294">
        <f t="shared" ref="E297" si="701">D297+1</f>
        <v>4</v>
      </c>
      <c r="F297" s="294">
        <f t="shared" ref="F297" si="702">E297+1</f>
        <v>5</v>
      </c>
      <c r="G297" s="294">
        <f t="shared" ref="G297" si="703">F297+1</f>
        <v>6</v>
      </c>
      <c r="H297" s="294">
        <f t="shared" ref="H297" si="704">G297+1</f>
        <v>7</v>
      </c>
      <c r="I297" s="294">
        <f t="shared" ref="I297" si="705">H297+1</f>
        <v>8</v>
      </c>
      <c r="J297" s="294">
        <f t="shared" ref="J297" si="706">I297+1</f>
        <v>9</v>
      </c>
      <c r="K297" s="294">
        <f t="shared" ref="K297" si="707">J297+1</f>
        <v>10</v>
      </c>
      <c r="L297" s="294">
        <f t="shared" ref="L297" si="708">K297+1</f>
        <v>11</v>
      </c>
      <c r="M297" s="294">
        <f t="shared" ref="M297" si="709">L297+1</f>
        <v>12</v>
      </c>
      <c r="N297" s="294">
        <f t="shared" ref="N297" si="710">M297+1</f>
        <v>13</v>
      </c>
      <c r="O297" s="294">
        <f t="shared" ref="O297" si="711">N297+1</f>
        <v>14</v>
      </c>
      <c r="P297" s="294">
        <f t="shared" ref="P297" si="712">O297+1</f>
        <v>15</v>
      </c>
      <c r="Q297" s="294">
        <f t="shared" ref="Q297" si="713">P297+1</f>
        <v>16</v>
      </c>
      <c r="R297" s="294">
        <f t="shared" ref="R297" si="714">Q297+1</f>
        <v>17</v>
      </c>
      <c r="S297" s="294">
        <f t="shared" ref="S297" si="715">R297+1</f>
        <v>18</v>
      </c>
      <c r="T297" s="294">
        <f t="shared" ref="T297" si="716">S297+1</f>
        <v>19</v>
      </c>
      <c r="U297" s="294">
        <f t="shared" ref="U297" si="717">T297+1</f>
        <v>20</v>
      </c>
      <c r="V297" s="294">
        <f t="shared" ref="V297" si="718">U297+1</f>
        <v>21</v>
      </c>
      <c r="W297" s="294">
        <f t="shared" ref="W297" si="719">V297+1</f>
        <v>22</v>
      </c>
      <c r="X297" s="294">
        <f t="shared" ref="X297" si="720">W297+1</f>
        <v>23</v>
      </c>
      <c r="Y297" s="294">
        <f t="shared" ref="Y297" si="721">X297+1</f>
        <v>24</v>
      </c>
      <c r="Z297" s="294">
        <f t="shared" ref="Z297" si="722">Y297+1</f>
        <v>25</v>
      </c>
      <c r="AA297" s="294">
        <f t="shared" ref="AA297" si="723">Z297+1</f>
        <v>26</v>
      </c>
      <c r="AB297" s="294">
        <f t="shared" ref="AB297" si="724">AA297+1</f>
        <v>27</v>
      </c>
      <c r="AC297" s="294">
        <f t="shared" ref="AC297" si="725">AB297+1</f>
        <v>28</v>
      </c>
      <c r="AD297" s="294">
        <f t="shared" ref="AD297" si="726">AC297+1</f>
        <v>29</v>
      </c>
      <c r="AE297" s="294">
        <f t="shared" ref="AE297" si="727">AD297+1</f>
        <v>30</v>
      </c>
    </row>
    <row r="298" spans="1:31" outlineLevel="2" x14ac:dyDescent="0.2">
      <c r="A298" s="2" t="s">
        <v>420</v>
      </c>
      <c r="B298" s="1">
        <f>B291</f>
        <v>0</v>
      </c>
      <c r="C298" s="1">
        <f>B299</f>
        <v>0</v>
      </c>
      <c r="D298" s="1">
        <f t="shared" ref="D298" si="728">C299</f>
        <v>0</v>
      </c>
      <c r="E298" s="1">
        <f t="shared" ref="E298" si="729">D299</f>
        <v>0</v>
      </c>
      <c r="F298" s="1">
        <f t="shared" ref="F298" si="730">E299</f>
        <v>0</v>
      </c>
      <c r="G298" s="1">
        <f t="shared" ref="G298" si="731">F299</f>
        <v>0</v>
      </c>
      <c r="H298" s="1">
        <f t="shared" ref="H298" si="732">G299</f>
        <v>0</v>
      </c>
      <c r="I298" s="1">
        <f t="shared" ref="I298" si="733">H299</f>
        <v>0</v>
      </c>
      <c r="J298" s="1">
        <f t="shared" ref="J298" si="734">I299</f>
        <v>0</v>
      </c>
      <c r="K298" s="1">
        <f t="shared" ref="K298" si="735">J299</f>
        <v>0</v>
      </c>
      <c r="L298" s="1">
        <f t="shared" ref="L298" si="736">K299</f>
        <v>0</v>
      </c>
      <c r="M298" s="1">
        <f t="shared" ref="M298" si="737">L299</f>
        <v>0</v>
      </c>
      <c r="N298" s="1">
        <f t="shared" ref="N298" si="738">M299</f>
        <v>0</v>
      </c>
      <c r="O298" s="1">
        <f t="shared" ref="O298" si="739">N299</f>
        <v>0</v>
      </c>
      <c r="P298" s="1">
        <f t="shared" ref="P298" si="740">O299</f>
        <v>0</v>
      </c>
      <c r="Q298" s="1">
        <f t="shared" ref="Q298" si="741">P299</f>
        <v>0</v>
      </c>
      <c r="R298" s="1">
        <f t="shared" ref="R298" si="742">Q299</f>
        <v>0</v>
      </c>
      <c r="S298" s="1">
        <f t="shared" ref="S298" si="743">R299</f>
        <v>0</v>
      </c>
      <c r="T298" s="1">
        <f t="shared" ref="T298" si="744">S299</f>
        <v>0</v>
      </c>
      <c r="U298" s="1">
        <f t="shared" ref="U298" si="745">T299</f>
        <v>0</v>
      </c>
      <c r="V298" s="1">
        <f t="shared" ref="V298" si="746">U299</f>
        <v>0</v>
      </c>
      <c r="W298" s="1">
        <f t="shared" ref="W298" si="747">V299</f>
        <v>0</v>
      </c>
      <c r="X298" s="1">
        <f t="shared" ref="X298" si="748">W299</f>
        <v>0</v>
      </c>
      <c r="Y298" s="1">
        <f t="shared" ref="Y298" si="749">X299</f>
        <v>0</v>
      </c>
      <c r="Z298" s="1">
        <f t="shared" ref="Z298" si="750">Y299</f>
        <v>0</v>
      </c>
      <c r="AA298" s="1">
        <f t="shared" ref="AA298" si="751">Z299</f>
        <v>0</v>
      </c>
      <c r="AB298" s="1">
        <f t="shared" ref="AB298" si="752">AA299</f>
        <v>0</v>
      </c>
      <c r="AC298" s="1">
        <f t="shared" ref="AC298" si="753">AB299</f>
        <v>0</v>
      </c>
      <c r="AD298" s="1">
        <f t="shared" ref="AD298" si="754">AC299</f>
        <v>0</v>
      </c>
      <c r="AE298" s="1">
        <f t="shared" ref="AE298" si="755">AD299</f>
        <v>0</v>
      </c>
    </row>
    <row r="299" spans="1:31" outlineLevel="2" x14ac:dyDescent="0.2">
      <c r="A299" s="2" t="s">
        <v>421</v>
      </c>
      <c r="B299" s="1">
        <f>B298-B300</f>
        <v>0</v>
      </c>
      <c r="C299" s="1">
        <f t="shared" ref="C299" si="756">C298-C300</f>
        <v>0</v>
      </c>
      <c r="D299" s="1">
        <f t="shared" ref="D299" si="757">D298-D300</f>
        <v>0</v>
      </c>
      <c r="E299" s="1">
        <f>E298-E300</f>
        <v>0</v>
      </c>
      <c r="F299" s="1">
        <f t="shared" ref="F299" si="758">F298-F300</f>
        <v>0</v>
      </c>
      <c r="G299" s="1">
        <f t="shared" ref="G299" si="759">G298-G300</f>
        <v>0</v>
      </c>
      <c r="H299" s="1">
        <f t="shared" ref="H299" si="760">H298-H300</f>
        <v>0</v>
      </c>
      <c r="I299" s="1">
        <f t="shared" ref="I299" si="761">I298-I300</f>
        <v>0</v>
      </c>
      <c r="J299" s="1">
        <f t="shared" ref="J299" si="762">J298-J300</f>
        <v>0</v>
      </c>
      <c r="K299" s="1">
        <f t="shared" ref="K299" si="763">K298-K300</f>
        <v>0</v>
      </c>
      <c r="L299" s="1">
        <f t="shared" ref="L299" si="764">L298-L300</f>
        <v>0</v>
      </c>
      <c r="M299" s="1">
        <f t="shared" ref="M299" si="765">M298-M300</f>
        <v>0</v>
      </c>
      <c r="N299" s="1">
        <f t="shared" ref="N299" si="766">N298-N300</f>
        <v>0</v>
      </c>
      <c r="O299" s="1">
        <f t="shared" ref="O299" si="767">O298-O300</f>
        <v>0</v>
      </c>
      <c r="P299" s="1">
        <f t="shared" ref="P299" si="768">P298-P300</f>
        <v>0</v>
      </c>
      <c r="Q299" s="1">
        <f t="shared" ref="Q299" si="769">Q298-Q300</f>
        <v>0</v>
      </c>
      <c r="R299" s="1">
        <f t="shared" ref="R299" si="770">R298-R300</f>
        <v>0</v>
      </c>
      <c r="S299" s="1">
        <f t="shared" ref="S299" si="771">S298-S300</f>
        <v>0</v>
      </c>
      <c r="T299" s="1">
        <f t="shared" ref="T299" si="772">T298-T300</f>
        <v>0</v>
      </c>
      <c r="U299" s="1">
        <f t="shared" ref="U299" si="773">U298-U300</f>
        <v>0</v>
      </c>
      <c r="V299" s="1">
        <f t="shared" ref="V299" si="774">V298-V300</f>
        <v>0</v>
      </c>
      <c r="W299" s="1">
        <f t="shared" ref="W299" si="775">W298-W300</f>
        <v>0</v>
      </c>
      <c r="X299" s="1">
        <f t="shared" ref="X299" si="776">X298-X300</f>
        <v>0</v>
      </c>
      <c r="Y299" s="1">
        <f t="shared" ref="Y299" si="777">Y298-Y300</f>
        <v>0</v>
      </c>
      <c r="Z299" s="1">
        <f t="shared" ref="Z299" si="778">Z298-Z300</f>
        <v>0</v>
      </c>
      <c r="AA299" s="1">
        <f t="shared" ref="AA299" si="779">AA298-AA300</f>
        <v>0</v>
      </c>
      <c r="AB299" s="1">
        <f t="shared" ref="AB299" si="780">AB298-AB300</f>
        <v>0</v>
      </c>
      <c r="AC299" s="1">
        <f t="shared" ref="AC299" si="781">AC298-AC300</f>
        <v>0</v>
      </c>
      <c r="AD299" s="1">
        <f t="shared" ref="AD299" si="782">AD298-AD300</f>
        <v>0</v>
      </c>
      <c r="AE299" s="1">
        <f t="shared" ref="AE299" si="783">AE298-AE300</f>
        <v>0</v>
      </c>
    </row>
    <row r="300" spans="1:31" outlineLevel="2" x14ac:dyDescent="0.2">
      <c r="A300" s="2" t="s">
        <v>413</v>
      </c>
      <c r="B300" s="1">
        <f>IF($B293=B297,B298,0)</f>
        <v>0</v>
      </c>
      <c r="C300" s="1">
        <f t="shared" ref="C300:D300" si="784">IF($B293=C297,C298,0)</f>
        <v>0</v>
      </c>
      <c r="D300" s="1">
        <f t="shared" si="784"/>
        <v>0</v>
      </c>
      <c r="E300" s="1">
        <f>IF($B293=E297,E298,0)</f>
        <v>0</v>
      </c>
      <c r="F300" s="1">
        <f t="shared" ref="F300:AE300" si="785">IF($B293=F297,F298,0)</f>
        <v>0</v>
      </c>
      <c r="G300" s="1">
        <f t="shared" si="785"/>
        <v>0</v>
      </c>
      <c r="H300" s="1">
        <f t="shared" si="785"/>
        <v>0</v>
      </c>
      <c r="I300" s="1">
        <f t="shared" si="785"/>
        <v>0</v>
      </c>
      <c r="J300" s="1">
        <f t="shared" si="785"/>
        <v>0</v>
      </c>
      <c r="K300" s="1">
        <f t="shared" si="785"/>
        <v>0</v>
      </c>
      <c r="L300" s="1">
        <f t="shared" si="785"/>
        <v>0</v>
      </c>
      <c r="M300" s="1">
        <f t="shared" si="785"/>
        <v>0</v>
      </c>
      <c r="N300" s="1">
        <f t="shared" si="785"/>
        <v>0</v>
      </c>
      <c r="O300" s="1">
        <f t="shared" si="785"/>
        <v>0</v>
      </c>
      <c r="P300" s="1">
        <f t="shared" si="785"/>
        <v>0</v>
      </c>
      <c r="Q300" s="1">
        <f t="shared" si="785"/>
        <v>0</v>
      </c>
      <c r="R300" s="1">
        <f t="shared" si="785"/>
        <v>0</v>
      </c>
      <c r="S300" s="1">
        <f t="shared" si="785"/>
        <v>0</v>
      </c>
      <c r="T300" s="1">
        <f t="shared" si="785"/>
        <v>0</v>
      </c>
      <c r="U300" s="1">
        <f t="shared" si="785"/>
        <v>0</v>
      </c>
      <c r="V300" s="1">
        <f t="shared" si="785"/>
        <v>0</v>
      </c>
      <c r="W300" s="1">
        <f t="shared" si="785"/>
        <v>0</v>
      </c>
      <c r="X300" s="1">
        <f t="shared" si="785"/>
        <v>0</v>
      </c>
      <c r="Y300" s="1">
        <f t="shared" si="785"/>
        <v>0</v>
      </c>
      <c r="Z300" s="1">
        <f t="shared" si="785"/>
        <v>0</v>
      </c>
      <c r="AA300" s="1">
        <f t="shared" si="785"/>
        <v>0</v>
      </c>
      <c r="AB300" s="1">
        <f t="shared" si="785"/>
        <v>0</v>
      </c>
      <c r="AC300" s="1">
        <f t="shared" si="785"/>
        <v>0</v>
      </c>
      <c r="AD300" s="1">
        <f t="shared" si="785"/>
        <v>0</v>
      </c>
      <c r="AE300" s="1">
        <f t="shared" si="785"/>
        <v>0</v>
      </c>
    </row>
    <row r="301" spans="1:31" outlineLevel="2" x14ac:dyDescent="0.2">
      <c r="A301" s="2" t="s">
        <v>414</v>
      </c>
      <c r="B301" s="1">
        <f>IF($B293&gt;=B297,B298*$B292,0)</f>
        <v>0</v>
      </c>
      <c r="C301" s="1">
        <f t="shared" ref="C301:AE301" si="786">IF($B293&gt;=C297,C298*$B292,0)</f>
        <v>0</v>
      </c>
      <c r="D301" s="1">
        <f t="shared" si="786"/>
        <v>0</v>
      </c>
      <c r="E301" s="1">
        <f t="shared" si="786"/>
        <v>0</v>
      </c>
      <c r="F301" s="1">
        <f t="shared" si="786"/>
        <v>0</v>
      </c>
      <c r="G301" s="1">
        <f t="shared" si="786"/>
        <v>0</v>
      </c>
      <c r="H301" s="1">
        <f t="shared" si="786"/>
        <v>0</v>
      </c>
      <c r="I301" s="1">
        <f t="shared" si="786"/>
        <v>0</v>
      </c>
      <c r="J301" s="1">
        <f>IF($B293&gt;=J297,J298*$B292,0)</f>
        <v>0</v>
      </c>
      <c r="K301" s="1">
        <f t="shared" si="786"/>
        <v>0</v>
      </c>
      <c r="L301" s="1">
        <f t="shared" si="786"/>
        <v>0</v>
      </c>
      <c r="M301" s="1">
        <f t="shared" si="786"/>
        <v>0</v>
      </c>
      <c r="N301" s="1">
        <f t="shared" si="786"/>
        <v>0</v>
      </c>
      <c r="O301" s="1">
        <f t="shared" si="786"/>
        <v>0</v>
      </c>
      <c r="P301" s="1">
        <f t="shared" si="786"/>
        <v>0</v>
      </c>
      <c r="Q301" s="1">
        <f t="shared" si="786"/>
        <v>0</v>
      </c>
      <c r="R301" s="1">
        <f t="shared" si="786"/>
        <v>0</v>
      </c>
      <c r="S301" s="1">
        <f t="shared" si="786"/>
        <v>0</v>
      </c>
      <c r="T301" s="1">
        <f t="shared" si="786"/>
        <v>0</v>
      </c>
      <c r="U301" s="1">
        <f t="shared" si="786"/>
        <v>0</v>
      </c>
      <c r="V301" s="1">
        <f t="shared" si="786"/>
        <v>0</v>
      </c>
      <c r="W301" s="1">
        <f t="shared" si="786"/>
        <v>0</v>
      </c>
      <c r="X301" s="1">
        <f t="shared" si="786"/>
        <v>0</v>
      </c>
      <c r="Y301" s="1">
        <f t="shared" si="786"/>
        <v>0</v>
      </c>
      <c r="Z301" s="1">
        <f t="shared" si="786"/>
        <v>0</v>
      </c>
      <c r="AA301" s="1">
        <f t="shared" si="786"/>
        <v>0</v>
      </c>
      <c r="AB301" s="1">
        <f t="shared" si="786"/>
        <v>0</v>
      </c>
      <c r="AC301" s="1">
        <f t="shared" si="786"/>
        <v>0</v>
      </c>
      <c r="AD301" s="1">
        <f t="shared" si="786"/>
        <v>0</v>
      </c>
      <c r="AE301" s="1">
        <f t="shared" si="786"/>
        <v>0</v>
      </c>
    </row>
    <row r="302" spans="1:31" outlineLevel="2" x14ac:dyDescent="0.2">
      <c r="A302" s="2" t="s">
        <v>422</v>
      </c>
      <c r="B302" s="1">
        <f>B300+B301</f>
        <v>0</v>
      </c>
      <c r="C302" s="1">
        <f t="shared" ref="C302:D302" si="787">C300+C301</f>
        <v>0</v>
      </c>
      <c r="D302" s="1">
        <f t="shared" si="787"/>
        <v>0</v>
      </c>
      <c r="E302" s="1">
        <f>E300+E301</f>
        <v>0</v>
      </c>
      <c r="F302" s="1">
        <f t="shared" ref="F302:AE302" si="788">F300+F301</f>
        <v>0</v>
      </c>
      <c r="G302" s="1">
        <f t="shared" si="788"/>
        <v>0</v>
      </c>
      <c r="H302" s="1">
        <f t="shared" si="788"/>
        <v>0</v>
      </c>
      <c r="I302" s="1">
        <f t="shared" si="788"/>
        <v>0</v>
      </c>
      <c r="J302" s="1">
        <f t="shared" si="788"/>
        <v>0</v>
      </c>
      <c r="K302" s="1">
        <f t="shared" si="788"/>
        <v>0</v>
      </c>
      <c r="L302" s="1">
        <f t="shared" si="788"/>
        <v>0</v>
      </c>
      <c r="M302" s="1">
        <f t="shared" si="788"/>
        <v>0</v>
      </c>
      <c r="N302" s="1">
        <f t="shared" si="788"/>
        <v>0</v>
      </c>
      <c r="O302" s="1">
        <f t="shared" si="788"/>
        <v>0</v>
      </c>
      <c r="P302" s="1">
        <f t="shared" si="788"/>
        <v>0</v>
      </c>
      <c r="Q302" s="1">
        <f t="shared" si="788"/>
        <v>0</v>
      </c>
      <c r="R302" s="1">
        <f t="shared" si="788"/>
        <v>0</v>
      </c>
      <c r="S302" s="1">
        <f t="shared" si="788"/>
        <v>0</v>
      </c>
      <c r="T302" s="1">
        <f t="shared" si="788"/>
        <v>0</v>
      </c>
      <c r="U302" s="1">
        <f t="shared" si="788"/>
        <v>0</v>
      </c>
      <c r="V302" s="1">
        <f t="shared" si="788"/>
        <v>0</v>
      </c>
      <c r="W302" s="1">
        <f t="shared" si="788"/>
        <v>0</v>
      </c>
      <c r="X302" s="1">
        <f t="shared" si="788"/>
        <v>0</v>
      </c>
      <c r="Y302" s="1">
        <f t="shared" si="788"/>
        <v>0</v>
      </c>
      <c r="Z302" s="1">
        <f t="shared" si="788"/>
        <v>0</v>
      </c>
      <c r="AA302" s="1">
        <f t="shared" si="788"/>
        <v>0</v>
      </c>
      <c r="AB302" s="1">
        <f t="shared" si="788"/>
        <v>0</v>
      </c>
      <c r="AC302" s="1">
        <f t="shared" si="788"/>
        <v>0</v>
      </c>
      <c r="AD302" s="1">
        <f t="shared" si="788"/>
        <v>0</v>
      </c>
      <c r="AE302" s="1">
        <f t="shared" si="788"/>
        <v>0</v>
      </c>
    </row>
    <row r="303" spans="1:31" outlineLevel="1" x14ac:dyDescent="0.2">
      <c r="A303" s="13"/>
    </row>
    <row r="304" spans="1:31" ht="15" outlineLevel="2" x14ac:dyDescent="0.25">
      <c r="A304" s="292" t="str">
        <f>assumptions!A39</f>
        <v>[Additional Field - Specify] (Non-Amortizing)</v>
      </c>
      <c r="B304" s="1"/>
    </row>
    <row r="305" spans="1:31" outlineLevel="2" x14ac:dyDescent="0.2">
      <c r="A305" s="2"/>
      <c r="B305" s="1"/>
    </row>
    <row r="306" spans="1:31" outlineLevel="2" x14ac:dyDescent="0.2">
      <c r="A306" s="297" t="s">
        <v>413</v>
      </c>
      <c r="B306" s="1">
        <f>assumptions!B39</f>
        <v>0</v>
      </c>
    </row>
    <row r="307" spans="1:31" outlineLevel="2" x14ac:dyDescent="0.2">
      <c r="A307" s="297" t="s">
        <v>414</v>
      </c>
      <c r="B307" s="482">
        <f>assumptions!D39</f>
        <v>0</v>
      </c>
    </row>
    <row r="308" spans="1:31" outlineLevel="2" x14ac:dyDescent="0.2">
      <c r="A308" s="297" t="s">
        <v>416</v>
      </c>
      <c r="B308" s="1">
        <f>IF(assumptions!F39="deferred",0,assumptions!F39)</f>
        <v>0</v>
      </c>
    </row>
    <row r="309" spans="1:31" outlineLevel="2" x14ac:dyDescent="0.2">
      <c r="A309" s="297" t="s">
        <v>417</v>
      </c>
      <c r="B309" s="1">
        <f>B306*(B307/12)</f>
        <v>0</v>
      </c>
    </row>
    <row r="310" spans="1:31" outlineLevel="2" x14ac:dyDescent="0.2">
      <c r="A310" s="297" t="s">
        <v>418</v>
      </c>
      <c r="B310" s="72">
        <f>B309*12</f>
        <v>0</v>
      </c>
    </row>
    <row r="311" spans="1:31" outlineLevel="2" x14ac:dyDescent="0.2">
      <c r="A311" s="13"/>
    </row>
    <row r="312" spans="1:31" outlineLevel="2" x14ac:dyDescent="0.2">
      <c r="A312" s="295" t="s">
        <v>419</v>
      </c>
      <c r="B312" s="294">
        <v>1</v>
      </c>
      <c r="C312" s="294">
        <f t="shared" ref="C312" si="789">B312+1</f>
        <v>2</v>
      </c>
      <c r="D312" s="294">
        <f t="shared" ref="D312" si="790">C312+1</f>
        <v>3</v>
      </c>
      <c r="E312" s="294">
        <f t="shared" ref="E312" si="791">D312+1</f>
        <v>4</v>
      </c>
      <c r="F312" s="294">
        <f t="shared" ref="F312" si="792">E312+1</f>
        <v>5</v>
      </c>
      <c r="G312" s="294">
        <f t="shared" ref="G312" si="793">F312+1</f>
        <v>6</v>
      </c>
      <c r="H312" s="294">
        <f t="shared" ref="H312" si="794">G312+1</f>
        <v>7</v>
      </c>
      <c r="I312" s="294">
        <f t="shared" ref="I312" si="795">H312+1</f>
        <v>8</v>
      </c>
      <c r="J312" s="294">
        <f t="shared" ref="J312" si="796">I312+1</f>
        <v>9</v>
      </c>
      <c r="K312" s="294">
        <f t="shared" ref="K312" si="797">J312+1</f>
        <v>10</v>
      </c>
      <c r="L312" s="294">
        <f t="shared" ref="L312" si="798">K312+1</f>
        <v>11</v>
      </c>
      <c r="M312" s="294">
        <f t="shared" ref="M312" si="799">L312+1</f>
        <v>12</v>
      </c>
      <c r="N312" s="294">
        <f t="shared" ref="N312" si="800">M312+1</f>
        <v>13</v>
      </c>
      <c r="O312" s="294">
        <f t="shared" ref="O312" si="801">N312+1</f>
        <v>14</v>
      </c>
      <c r="P312" s="294">
        <f t="shared" ref="P312" si="802">O312+1</f>
        <v>15</v>
      </c>
      <c r="Q312" s="294">
        <f t="shared" ref="Q312" si="803">P312+1</f>
        <v>16</v>
      </c>
      <c r="R312" s="294">
        <f t="shared" ref="R312" si="804">Q312+1</f>
        <v>17</v>
      </c>
      <c r="S312" s="294">
        <f t="shared" ref="S312" si="805">R312+1</f>
        <v>18</v>
      </c>
      <c r="T312" s="294">
        <f t="shared" ref="T312" si="806">S312+1</f>
        <v>19</v>
      </c>
      <c r="U312" s="294">
        <f t="shared" ref="U312" si="807">T312+1</f>
        <v>20</v>
      </c>
      <c r="V312" s="294">
        <f t="shared" ref="V312" si="808">U312+1</f>
        <v>21</v>
      </c>
      <c r="W312" s="294">
        <f t="shared" ref="W312" si="809">V312+1</f>
        <v>22</v>
      </c>
      <c r="X312" s="294">
        <f t="shared" ref="X312" si="810">W312+1</f>
        <v>23</v>
      </c>
      <c r="Y312" s="294">
        <f t="shared" ref="Y312" si="811">X312+1</f>
        <v>24</v>
      </c>
      <c r="Z312" s="294">
        <f t="shared" ref="Z312" si="812">Y312+1</f>
        <v>25</v>
      </c>
      <c r="AA312" s="294">
        <f t="shared" ref="AA312" si="813">Z312+1</f>
        <v>26</v>
      </c>
      <c r="AB312" s="294">
        <f t="shared" ref="AB312" si="814">AA312+1</f>
        <v>27</v>
      </c>
      <c r="AC312" s="294">
        <f t="shared" ref="AC312" si="815">AB312+1</f>
        <v>28</v>
      </c>
      <c r="AD312" s="294">
        <f t="shared" ref="AD312" si="816">AC312+1</f>
        <v>29</v>
      </c>
      <c r="AE312" s="294">
        <f t="shared" ref="AE312" si="817">AD312+1</f>
        <v>30</v>
      </c>
    </row>
    <row r="313" spans="1:31" outlineLevel="2" x14ac:dyDescent="0.2">
      <c r="A313" s="2" t="s">
        <v>420</v>
      </c>
      <c r="B313" s="1">
        <f>B306</f>
        <v>0</v>
      </c>
      <c r="C313" s="1">
        <f>B314</f>
        <v>0</v>
      </c>
      <c r="D313" s="1">
        <f t="shared" ref="D313" si="818">C314</f>
        <v>0</v>
      </c>
      <c r="E313" s="1">
        <f t="shared" ref="E313" si="819">D314</f>
        <v>0</v>
      </c>
      <c r="F313" s="1">
        <f t="shared" ref="F313" si="820">E314</f>
        <v>0</v>
      </c>
      <c r="G313" s="1">
        <f t="shared" ref="G313" si="821">F314</f>
        <v>0</v>
      </c>
      <c r="H313" s="1">
        <f t="shared" ref="H313" si="822">G314</f>
        <v>0</v>
      </c>
      <c r="I313" s="1">
        <f t="shared" ref="I313" si="823">H314</f>
        <v>0</v>
      </c>
      <c r="J313" s="1">
        <f t="shared" ref="J313" si="824">I314</f>
        <v>0</v>
      </c>
      <c r="K313" s="1">
        <f t="shared" ref="K313" si="825">J314</f>
        <v>0</v>
      </c>
      <c r="L313" s="1">
        <f t="shared" ref="L313" si="826">K314</f>
        <v>0</v>
      </c>
      <c r="M313" s="1">
        <f t="shared" ref="M313" si="827">L314</f>
        <v>0</v>
      </c>
      <c r="N313" s="1">
        <f t="shared" ref="N313" si="828">M314</f>
        <v>0</v>
      </c>
      <c r="O313" s="1">
        <f t="shared" ref="O313" si="829">N314</f>
        <v>0</v>
      </c>
      <c r="P313" s="1">
        <f t="shared" ref="P313" si="830">O314</f>
        <v>0</v>
      </c>
      <c r="Q313" s="1">
        <f t="shared" ref="Q313" si="831">P314</f>
        <v>0</v>
      </c>
      <c r="R313" s="1">
        <f t="shared" ref="R313" si="832">Q314</f>
        <v>0</v>
      </c>
      <c r="S313" s="1">
        <f t="shared" ref="S313" si="833">R314</f>
        <v>0</v>
      </c>
      <c r="T313" s="1">
        <f t="shared" ref="T313" si="834">S314</f>
        <v>0</v>
      </c>
      <c r="U313" s="1">
        <f t="shared" ref="U313" si="835">T314</f>
        <v>0</v>
      </c>
      <c r="V313" s="1">
        <f t="shared" ref="V313" si="836">U314</f>
        <v>0</v>
      </c>
      <c r="W313" s="1">
        <f t="shared" ref="W313" si="837">V314</f>
        <v>0</v>
      </c>
      <c r="X313" s="1">
        <f t="shared" ref="X313" si="838">W314</f>
        <v>0</v>
      </c>
      <c r="Y313" s="1">
        <f t="shared" ref="Y313" si="839">X314</f>
        <v>0</v>
      </c>
      <c r="Z313" s="1">
        <f t="shared" ref="Z313" si="840">Y314</f>
        <v>0</v>
      </c>
      <c r="AA313" s="1">
        <f t="shared" ref="AA313" si="841">Z314</f>
        <v>0</v>
      </c>
      <c r="AB313" s="1">
        <f t="shared" ref="AB313" si="842">AA314</f>
        <v>0</v>
      </c>
      <c r="AC313" s="1">
        <f t="shared" ref="AC313" si="843">AB314</f>
        <v>0</v>
      </c>
      <c r="AD313" s="1">
        <f t="shared" ref="AD313" si="844">AC314</f>
        <v>0</v>
      </c>
      <c r="AE313" s="1">
        <f t="shared" ref="AE313" si="845">AD314</f>
        <v>0</v>
      </c>
    </row>
    <row r="314" spans="1:31" outlineLevel="2" x14ac:dyDescent="0.2">
      <c r="A314" s="2" t="s">
        <v>421</v>
      </c>
      <c r="B314" s="1">
        <f>B313-B315</f>
        <v>0</v>
      </c>
      <c r="C314" s="1">
        <f t="shared" ref="C314" si="846">C313-C315</f>
        <v>0</v>
      </c>
      <c r="D314" s="1">
        <f t="shared" ref="D314" si="847">D313-D315</f>
        <v>0</v>
      </c>
      <c r="E314" s="1">
        <f>E313-E315</f>
        <v>0</v>
      </c>
      <c r="F314" s="1">
        <f t="shared" ref="F314" si="848">F313-F315</f>
        <v>0</v>
      </c>
      <c r="G314" s="1">
        <f t="shared" ref="G314" si="849">G313-G315</f>
        <v>0</v>
      </c>
      <c r="H314" s="1">
        <f t="shared" ref="H314" si="850">H313-H315</f>
        <v>0</v>
      </c>
      <c r="I314" s="1">
        <f t="shared" ref="I314" si="851">I313-I315</f>
        <v>0</v>
      </c>
      <c r="J314" s="1">
        <f t="shared" ref="J314" si="852">J313-J315</f>
        <v>0</v>
      </c>
      <c r="K314" s="1">
        <f t="shared" ref="K314" si="853">K313-K315</f>
        <v>0</v>
      </c>
      <c r="L314" s="1">
        <f t="shared" ref="L314" si="854">L313-L315</f>
        <v>0</v>
      </c>
      <c r="M314" s="1">
        <f t="shared" ref="M314" si="855">M313-M315</f>
        <v>0</v>
      </c>
      <c r="N314" s="1">
        <f t="shared" ref="N314" si="856">N313-N315</f>
        <v>0</v>
      </c>
      <c r="O314" s="1">
        <f t="shared" ref="O314" si="857">O313-O315</f>
        <v>0</v>
      </c>
      <c r="P314" s="1">
        <f t="shared" ref="P314" si="858">P313-P315</f>
        <v>0</v>
      </c>
      <c r="Q314" s="1">
        <f t="shared" ref="Q314" si="859">Q313-Q315</f>
        <v>0</v>
      </c>
      <c r="R314" s="1">
        <f t="shared" ref="R314" si="860">R313-R315</f>
        <v>0</v>
      </c>
      <c r="S314" s="1">
        <f t="shared" ref="S314" si="861">S313-S315</f>
        <v>0</v>
      </c>
      <c r="T314" s="1">
        <f t="shared" ref="T314" si="862">T313-T315</f>
        <v>0</v>
      </c>
      <c r="U314" s="1">
        <f t="shared" ref="U314" si="863">U313-U315</f>
        <v>0</v>
      </c>
      <c r="V314" s="1">
        <f t="shared" ref="V314" si="864">V313-V315</f>
        <v>0</v>
      </c>
      <c r="W314" s="1">
        <f t="shared" ref="W314" si="865">W313-W315</f>
        <v>0</v>
      </c>
      <c r="X314" s="1">
        <f t="shared" ref="X314" si="866">X313-X315</f>
        <v>0</v>
      </c>
      <c r="Y314" s="1">
        <f t="shared" ref="Y314" si="867">Y313-Y315</f>
        <v>0</v>
      </c>
      <c r="Z314" s="1">
        <f t="shared" ref="Z314" si="868">Z313-Z315</f>
        <v>0</v>
      </c>
      <c r="AA314" s="1">
        <f t="shared" ref="AA314" si="869">AA313-AA315</f>
        <v>0</v>
      </c>
      <c r="AB314" s="1">
        <f t="shared" ref="AB314" si="870">AB313-AB315</f>
        <v>0</v>
      </c>
      <c r="AC314" s="1">
        <f t="shared" ref="AC314" si="871">AC313-AC315</f>
        <v>0</v>
      </c>
      <c r="AD314" s="1">
        <f t="shared" ref="AD314" si="872">AD313-AD315</f>
        <v>0</v>
      </c>
      <c r="AE314" s="1">
        <f t="shared" ref="AE314" si="873">AE313-AE315</f>
        <v>0</v>
      </c>
    </row>
    <row r="315" spans="1:31" outlineLevel="2" x14ac:dyDescent="0.2">
      <c r="A315" s="2" t="s">
        <v>413</v>
      </c>
      <c r="B315" s="1">
        <f>IF($B308=B312,B313,0)</f>
        <v>0</v>
      </c>
      <c r="C315" s="1">
        <f t="shared" ref="C315:D315" si="874">IF($B308=C312,C313,0)</f>
        <v>0</v>
      </c>
      <c r="D315" s="1">
        <f t="shared" si="874"/>
        <v>0</v>
      </c>
      <c r="E315" s="1">
        <f>IF($B308=E312,E313,0)</f>
        <v>0</v>
      </c>
      <c r="F315" s="1">
        <f t="shared" ref="F315:AE315" si="875">IF($B308=F312,F313,0)</f>
        <v>0</v>
      </c>
      <c r="G315" s="1">
        <f t="shared" si="875"/>
        <v>0</v>
      </c>
      <c r="H315" s="1">
        <f t="shared" si="875"/>
        <v>0</v>
      </c>
      <c r="I315" s="1">
        <f t="shared" si="875"/>
        <v>0</v>
      </c>
      <c r="J315" s="1">
        <f t="shared" si="875"/>
        <v>0</v>
      </c>
      <c r="K315" s="1">
        <f t="shared" si="875"/>
        <v>0</v>
      </c>
      <c r="L315" s="1">
        <f t="shared" si="875"/>
        <v>0</v>
      </c>
      <c r="M315" s="1">
        <f t="shared" si="875"/>
        <v>0</v>
      </c>
      <c r="N315" s="1">
        <f t="shared" si="875"/>
        <v>0</v>
      </c>
      <c r="O315" s="1">
        <f t="shared" si="875"/>
        <v>0</v>
      </c>
      <c r="P315" s="1">
        <f t="shared" si="875"/>
        <v>0</v>
      </c>
      <c r="Q315" s="1">
        <f t="shared" si="875"/>
        <v>0</v>
      </c>
      <c r="R315" s="1">
        <f t="shared" si="875"/>
        <v>0</v>
      </c>
      <c r="S315" s="1">
        <f t="shared" si="875"/>
        <v>0</v>
      </c>
      <c r="T315" s="1">
        <f t="shared" si="875"/>
        <v>0</v>
      </c>
      <c r="U315" s="1">
        <f t="shared" si="875"/>
        <v>0</v>
      </c>
      <c r="V315" s="1">
        <f t="shared" si="875"/>
        <v>0</v>
      </c>
      <c r="W315" s="1">
        <f t="shared" si="875"/>
        <v>0</v>
      </c>
      <c r="X315" s="1">
        <f t="shared" si="875"/>
        <v>0</v>
      </c>
      <c r="Y315" s="1">
        <f t="shared" si="875"/>
        <v>0</v>
      </c>
      <c r="Z315" s="1">
        <f t="shared" si="875"/>
        <v>0</v>
      </c>
      <c r="AA315" s="1">
        <f t="shared" si="875"/>
        <v>0</v>
      </c>
      <c r="AB315" s="1">
        <f t="shared" si="875"/>
        <v>0</v>
      </c>
      <c r="AC315" s="1">
        <f t="shared" si="875"/>
        <v>0</v>
      </c>
      <c r="AD315" s="1">
        <f t="shared" si="875"/>
        <v>0</v>
      </c>
      <c r="AE315" s="1">
        <f t="shared" si="875"/>
        <v>0</v>
      </c>
    </row>
    <row r="316" spans="1:31" outlineLevel="2" x14ac:dyDescent="0.2">
      <c r="A316" s="2" t="s">
        <v>414</v>
      </c>
      <c r="B316" s="1">
        <f>IF($B308&gt;=B312,B313*$B307,0)</f>
        <v>0</v>
      </c>
      <c r="C316" s="1">
        <f t="shared" ref="C316:AE316" si="876">IF($B308&gt;=C312,C313*$B307,0)</f>
        <v>0</v>
      </c>
      <c r="D316" s="1">
        <f t="shared" si="876"/>
        <v>0</v>
      </c>
      <c r="E316" s="1">
        <f t="shared" si="876"/>
        <v>0</v>
      </c>
      <c r="F316" s="1">
        <f t="shared" si="876"/>
        <v>0</v>
      </c>
      <c r="G316" s="1">
        <f t="shared" si="876"/>
        <v>0</v>
      </c>
      <c r="H316" s="1">
        <f t="shared" si="876"/>
        <v>0</v>
      </c>
      <c r="I316" s="1">
        <f t="shared" si="876"/>
        <v>0</v>
      </c>
      <c r="J316" s="1">
        <f>IF($B308&gt;=J312,J313*$B307,0)</f>
        <v>0</v>
      </c>
      <c r="K316" s="1">
        <f t="shared" si="876"/>
        <v>0</v>
      </c>
      <c r="L316" s="1">
        <f t="shared" si="876"/>
        <v>0</v>
      </c>
      <c r="M316" s="1">
        <f t="shared" si="876"/>
        <v>0</v>
      </c>
      <c r="N316" s="1">
        <f t="shared" si="876"/>
        <v>0</v>
      </c>
      <c r="O316" s="1">
        <f t="shared" si="876"/>
        <v>0</v>
      </c>
      <c r="P316" s="1">
        <f t="shared" si="876"/>
        <v>0</v>
      </c>
      <c r="Q316" s="1">
        <f t="shared" si="876"/>
        <v>0</v>
      </c>
      <c r="R316" s="1">
        <f t="shared" si="876"/>
        <v>0</v>
      </c>
      <c r="S316" s="1">
        <f t="shared" si="876"/>
        <v>0</v>
      </c>
      <c r="T316" s="1">
        <f t="shared" si="876"/>
        <v>0</v>
      </c>
      <c r="U316" s="1">
        <f t="shared" si="876"/>
        <v>0</v>
      </c>
      <c r="V316" s="1">
        <f t="shared" si="876"/>
        <v>0</v>
      </c>
      <c r="W316" s="1">
        <f t="shared" si="876"/>
        <v>0</v>
      </c>
      <c r="X316" s="1">
        <f t="shared" si="876"/>
        <v>0</v>
      </c>
      <c r="Y316" s="1">
        <f t="shared" si="876"/>
        <v>0</v>
      </c>
      <c r="Z316" s="1">
        <f t="shared" si="876"/>
        <v>0</v>
      </c>
      <c r="AA316" s="1">
        <f t="shared" si="876"/>
        <v>0</v>
      </c>
      <c r="AB316" s="1">
        <f t="shared" si="876"/>
        <v>0</v>
      </c>
      <c r="AC316" s="1">
        <f t="shared" si="876"/>
        <v>0</v>
      </c>
      <c r="AD316" s="1">
        <f t="shared" si="876"/>
        <v>0</v>
      </c>
      <c r="AE316" s="1">
        <f t="shared" si="876"/>
        <v>0</v>
      </c>
    </row>
    <row r="317" spans="1:31" outlineLevel="2" x14ac:dyDescent="0.2">
      <c r="A317" s="2" t="s">
        <v>422</v>
      </c>
      <c r="B317" s="1">
        <f>B315+B316</f>
        <v>0</v>
      </c>
      <c r="C317" s="1">
        <f t="shared" ref="C317:D317" si="877">C315+C316</f>
        <v>0</v>
      </c>
      <c r="D317" s="1">
        <f t="shared" si="877"/>
        <v>0</v>
      </c>
      <c r="E317" s="1">
        <f>E315+E316</f>
        <v>0</v>
      </c>
      <c r="F317" s="1">
        <f t="shared" ref="F317:AE317" si="878">F315+F316</f>
        <v>0</v>
      </c>
      <c r="G317" s="1">
        <f t="shared" si="878"/>
        <v>0</v>
      </c>
      <c r="H317" s="1">
        <f t="shared" si="878"/>
        <v>0</v>
      </c>
      <c r="I317" s="1">
        <f t="shared" si="878"/>
        <v>0</v>
      </c>
      <c r="J317" s="1">
        <f t="shared" si="878"/>
        <v>0</v>
      </c>
      <c r="K317" s="1">
        <f t="shared" si="878"/>
        <v>0</v>
      </c>
      <c r="L317" s="1">
        <f t="shared" si="878"/>
        <v>0</v>
      </c>
      <c r="M317" s="1">
        <f t="shared" si="878"/>
        <v>0</v>
      </c>
      <c r="N317" s="1">
        <f t="shared" si="878"/>
        <v>0</v>
      </c>
      <c r="O317" s="1">
        <f t="shared" si="878"/>
        <v>0</v>
      </c>
      <c r="P317" s="1">
        <f t="shared" si="878"/>
        <v>0</v>
      </c>
      <c r="Q317" s="1">
        <f t="shared" si="878"/>
        <v>0</v>
      </c>
      <c r="R317" s="1">
        <f t="shared" si="878"/>
        <v>0</v>
      </c>
      <c r="S317" s="1">
        <f t="shared" si="878"/>
        <v>0</v>
      </c>
      <c r="T317" s="1">
        <f t="shared" si="878"/>
        <v>0</v>
      </c>
      <c r="U317" s="1">
        <f t="shared" si="878"/>
        <v>0</v>
      </c>
      <c r="V317" s="1">
        <f t="shared" si="878"/>
        <v>0</v>
      </c>
      <c r="W317" s="1">
        <f t="shared" si="878"/>
        <v>0</v>
      </c>
      <c r="X317" s="1">
        <f t="shared" si="878"/>
        <v>0</v>
      </c>
      <c r="Y317" s="1">
        <f t="shared" si="878"/>
        <v>0</v>
      </c>
      <c r="Z317" s="1">
        <f t="shared" si="878"/>
        <v>0</v>
      </c>
      <c r="AA317" s="1">
        <f t="shared" si="878"/>
        <v>0</v>
      </c>
      <c r="AB317" s="1">
        <f t="shared" si="878"/>
        <v>0</v>
      </c>
      <c r="AC317" s="1">
        <f t="shared" si="878"/>
        <v>0</v>
      </c>
      <c r="AD317" s="1">
        <f t="shared" si="878"/>
        <v>0</v>
      </c>
      <c r="AE317" s="1">
        <f t="shared" si="878"/>
        <v>0</v>
      </c>
    </row>
    <row r="318" spans="1:31" outlineLevel="1" x14ac:dyDescent="0.2">
      <c r="A318" s="13"/>
    </row>
    <row r="319" spans="1:31" ht="15" outlineLevel="2" x14ac:dyDescent="0.25">
      <c r="A319" s="292" t="str">
        <f>assumptions!A40</f>
        <v>[Additional Field - Specify] (Non-Amortizing)</v>
      </c>
      <c r="B319" s="1"/>
    </row>
    <row r="320" spans="1:31" outlineLevel="2" x14ac:dyDescent="0.2">
      <c r="A320" s="2"/>
      <c r="B320" s="1"/>
    </row>
    <row r="321" spans="1:31" outlineLevel="2" x14ac:dyDescent="0.2">
      <c r="A321" s="297" t="s">
        <v>413</v>
      </c>
      <c r="B321" s="1">
        <f>assumptions!B40</f>
        <v>0</v>
      </c>
    </row>
    <row r="322" spans="1:31" outlineLevel="2" x14ac:dyDescent="0.2">
      <c r="A322" s="297" t="s">
        <v>414</v>
      </c>
      <c r="B322" s="482">
        <f>assumptions!D40</f>
        <v>0</v>
      </c>
    </row>
    <row r="323" spans="1:31" outlineLevel="2" x14ac:dyDescent="0.2">
      <c r="A323" s="297" t="s">
        <v>416</v>
      </c>
      <c r="B323" s="1">
        <f>IF(assumptions!F40="deferred",0,assumptions!F40)</f>
        <v>0</v>
      </c>
    </row>
    <row r="324" spans="1:31" outlineLevel="2" x14ac:dyDescent="0.2">
      <c r="A324" s="297" t="s">
        <v>417</v>
      </c>
      <c r="B324" s="1">
        <f>B321*(B322/12)</f>
        <v>0</v>
      </c>
    </row>
    <row r="325" spans="1:31" outlineLevel="2" x14ac:dyDescent="0.2">
      <c r="A325" s="297" t="s">
        <v>418</v>
      </c>
      <c r="B325" s="72">
        <f>B324*12</f>
        <v>0</v>
      </c>
    </row>
    <row r="326" spans="1:31" outlineLevel="2" x14ac:dyDescent="0.2">
      <c r="A326" s="13"/>
    </row>
    <row r="327" spans="1:31" outlineLevel="2" x14ac:dyDescent="0.2">
      <c r="A327" s="295" t="s">
        <v>419</v>
      </c>
      <c r="B327" s="294">
        <v>1</v>
      </c>
      <c r="C327" s="294">
        <f t="shared" ref="C327" si="879">B327+1</f>
        <v>2</v>
      </c>
      <c r="D327" s="294">
        <f t="shared" ref="D327" si="880">C327+1</f>
        <v>3</v>
      </c>
      <c r="E327" s="294">
        <f t="shared" ref="E327" si="881">D327+1</f>
        <v>4</v>
      </c>
      <c r="F327" s="294">
        <f t="shared" ref="F327" si="882">E327+1</f>
        <v>5</v>
      </c>
      <c r="G327" s="294">
        <f t="shared" ref="G327" si="883">F327+1</f>
        <v>6</v>
      </c>
      <c r="H327" s="294">
        <f t="shared" ref="H327" si="884">G327+1</f>
        <v>7</v>
      </c>
      <c r="I327" s="294">
        <f t="shared" ref="I327" si="885">H327+1</f>
        <v>8</v>
      </c>
      <c r="J327" s="294">
        <f t="shared" ref="J327" si="886">I327+1</f>
        <v>9</v>
      </c>
      <c r="K327" s="294">
        <f t="shared" ref="K327" si="887">J327+1</f>
        <v>10</v>
      </c>
      <c r="L327" s="294">
        <f t="shared" ref="L327" si="888">K327+1</f>
        <v>11</v>
      </c>
      <c r="M327" s="294">
        <f t="shared" ref="M327" si="889">L327+1</f>
        <v>12</v>
      </c>
      <c r="N327" s="294">
        <f t="shared" ref="N327" si="890">M327+1</f>
        <v>13</v>
      </c>
      <c r="O327" s="294">
        <f t="shared" ref="O327" si="891">N327+1</f>
        <v>14</v>
      </c>
      <c r="P327" s="294">
        <f t="shared" ref="P327" si="892">O327+1</f>
        <v>15</v>
      </c>
      <c r="Q327" s="294">
        <f t="shared" ref="Q327" si="893">P327+1</f>
        <v>16</v>
      </c>
      <c r="R327" s="294">
        <f t="shared" ref="R327" si="894">Q327+1</f>
        <v>17</v>
      </c>
      <c r="S327" s="294">
        <f t="shared" ref="S327" si="895">R327+1</f>
        <v>18</v>
      </c>
      <c r="T327" s="294">
        <f t="shared" ref="T327" si="896">S327+1</f>
        <v>19</v>
      </c>
      <c r="U327" s="294">
        <f t="shared" ref="U327" si="897">T327+1</f>
        <v>20</v>
      </c>
      <c r="V327" s="294">
        <f t="shared" ref="V327" si="898">U327+1</f>
        <v>21</v>
      </c>
      <c r="W327" s="294">
        <f t="shared" ref="W327" si="899">V327+1</f>
        <v>22</v>
      </c>
      <c r="X327" s="294">
        <f t="shared" ref="X327" si="900">W327+1</f>
        <v>23</v>
      </c>
      <c r="Y327" s="294">
        <f t="shared" ref="Y327" si="901">X327+1</f>
        <v>24</v>
      </c>
      <c r="Z327" s="294">
        <f t="shared" ref="Z327" si="902">Y327+1</f>
        <v>25</v>
      </c>
      <c r="AA327" s="294">
        <f t="shared" ref="AA327" si="903">Z327+1</f>
        <v>26</v>
      </c>
      <c r="AB327" s="294">
        <f t="shared" ref="AB327" si="904">AA327+1</f>
        <v>27</v>
      </c>
      <c r="AC327" s="294">
        <f t="shared" ref="AC327" si="905">AB327+1</f>
        <v>28</v>
      </c>
      <c r="AD327" s="294">
        <f t="shared" ref="AD327" si="906">AC327+1</f>
        <v>29</v>
      </c>
      <c r="AE327" s="294">
        <f t="shared" ref="AE327" si="907">AD327+1</f>
        <v>30</v>
      </c>
    </row>
    <row r="328" spans="1:31" outlineLevel="2" x14ac:dyDescent="0.2">
      <c r="A328" s="2" t="s">
        <v>420</v>
      </c>
      <c r="B328" s="1">
        <f>B321</f>
        <v>0</v>
      </c>
      <c r="C328" s="1">
        <f>B329</f>
        <v>0</v>
      </c>
      <c r="D328" s="1">
        <f t="shared" ref="D328" si="908">C329</f>
        <v>0</v>
      </c>
      <c r="E328" s="1">
        <f t="shared" ref="E328" si="909">D329</f>
        <v>0</v>
      </c>
      <c r="F328" s="1">
        <f t="shared" ref="F328" si="910">E329</f>
        <v>0</v>
      </c>
      <c r="G328" s="1">
        <f t="shared" ref="G328" si="911">F329</f>
        <v>0</v>
      </c>
      <c r="H328" s="1">
        <f t="shared" ref="H328" si="912">G329</f>
        <v>0</v>
      </c>
      <c r="I328" s="1">
        <f t="shared" ref="I328" si="913">H329</f>
        <v>0</v>
      </c>
      <c r="J328" s="1">
        <f t="shared" ref="J328" si="914">I329</f>
        <v>0</v>
      </c>
      <c r="K328" s="1">
        <f t="shared" ref="K328" si="915">J329</f>
        <v>0</v>
      </c>
      <c r="L328" s="1">
        <f t="shared" ref="L328" si="916">K329</f>
        <v>0</v>
      </c>
      <c r="M328" s="1">
        <f t="shared" ref="M328" si="917">L329</f>
        <v>0</v>
      </c>
      <c r="N328" s="1">
        <f t="shared" ref="N328" si="918">M329</f>
        <v>0</v>
      </c>
      <c r="O328" s="1">
        <f t="shared" ref="O328" si="919">N329</f>
        <v>0</v>
      </c>
      <c r="P328" s="1">
        <f t="shared" ref="P328" si="920">O329</f>
        <v>0</v>
      </c>
      <c r="Q328" s="1">
        <f t="shared" ref="Q328" si="921">P329</f>
        <v>0</v>
      </c>
      <c r="R328" s="1">
        <f t="shared" ref="R328" si="922">Q329</f>
        <v>0</v>
      </c>
      <c r="S328" s="1">
        <f t="shared" ref="S328" si="923">R329</f>
        <v>0</v>
      </c>
      <c r="T328" s="1">
        <f t="shared" ref="T328" si="924">S329</f>
        <v>0</v>
      </c>
      <c r="U328" s="1">
        <f t="shared" ref="U328" si="925">T329</f>
        <v>0</v>
      </c>
      <c r="V328" s="1">
        <f t="shared" ref="V328" si="926">U329</f>
        <v>0</v>
      </c>
      <c r="W328" s="1">
        <f t="shared" ref="W328" si="927">V329</f>
        <v>0</v>
      </c>
      <c r="X328" s="1">
        <f t="shared" ref="X328" si="928">W329</f>
        <v>0</v>
      </c>
      <c r="Y328" s="1">
        <f t="shared" ref="Y328" si="929">X329</f>
        <v>0</v>
      </c>
      <c r="Z328" s="1">
        <f t="shared" ref="Z328" si="930">Y329</f>
        <v>0</v>
      </c>
      <c r="AA328" s="1">
        <f t="shared" ref="AA328" si="931">Z329</f>
        <v>0</v>
      </c>
      <c r="AB328" s="1">
        <f t="shared" ref="AB328" si="932">AA329</f>
        <v>0</v>
      </c>
      <c r="AC328" s="1">
        <f t="shared" ref="AC328" si="933">AB329</f>
        <v>0</v>
      </c>
      <c r="AD328" s="1">
        <f t="shared" ref="AD328" si="934">AC329</f>
        <v>0</v>
      </c>
      <c r="AE328" s="1">
        <f t="shared" ref="AE328" si="935">AD329</f>
        <v>0</v>
      </c>
    </row>
    <row r="329" spans="1:31" outlineLevel="2" x14ac:dyDescent="0.2">
      <c r="A329" s="2" t="s">
        <v>421</v>
      </c>
      <c r="B329" s="1">
        <f>B328-B330</f>
        <v>0</v>
      </c>
      <c r="C329" s="1">
        <f t="shared" ref="C329" si="936">C328-C330</f>
        <v>0</v>
      </c>
      <c r="D329" s="1">
        <f t="shared" ref="D329" si="937">D328-D330</f>
        <v>0</v>
      </c>
      <c r="E329" s="1">
        <f>E328-E330</f>
        <v>0</v>
      </c>
      <c r="F329" s="1">
        <f t="shared" ref="F329" si="938">F328-F330</f>
        <v>0</v>
      </c>
      <c r="G329" s="1">
        <f t="shared" ref="G329" si="939">G328-G330</f>
        <v>0</v>
      </c>
      <c r="H329" s="1">
        <f t="shared" ref="H329" si="940">H328-H330</f>
        <v>0</v>
      </c>
      <c r="I329" s="1">
        <f t="shared" ref="I329" si="941">I328-I330</f>
        <v>0</v>
      </c>
      <c r="J329" s="1">
        <f t="shared" ref="J329" si="942">J328-J330</f>
        <v>0</v>
      </c>
      <c r="K329" s="1">
        <f t="shared" ref="K329" si="943">K328-K330</f>
        <v>0</v>
      </c>
      <c r="L329" s="1">
        <f t="shared" ref="L329" si="944">L328-L330</f>
        <v>0</v>
      </c>
      <c r="M329" s="1">
        <f t="shared" ref="M329" si="945">M328-M330</f>
        <v>0</v>
      </c>
      <c r="N329" s="1">
        <f t="shared" ref="N329" si="946">N328-N330</f>
        <v>0</v>
      </c>
      <c r="O329" s="1">
        <f t="shared" ref="O329" si="947">O328-O330</f>
        <v>0</v>
      </c>
      <c r="P329" s="1">
        <f t="shared" ref="P329" si="948">P328-P330</f>
        <v>0</v>
      </c>
      <c r="Q329" s="1">
        <f t="shared" ref="Q329" si="949">Q328-Q330</f>
        <v>0</v>
      </c>
      <c r="R329" s="1">
        <f t="shared" ref="R329" si="950">R328-R330</f>
        <v>0</v>
      </c>
      <c r="S329" s="1">
        <f t="shared" ref="S329" si="951">S328-S330</f>
        <v>0</v>
      </c>
      <c r="T329" s="1">
        <f t="shared" ref="T329" si="952">T328-T330</f>
        <v>0</v>
      </c>
      <c r="U329" s="1">
        <f t="shared" ref="U329" si="953">U328-U330</f>
        <v>0</v>
      </c>
      <c r="V329" s="1">
        <f t="shared" ref="V329" si="954">V328-V330</f>
        <v>0</v>
      </c>
      <c r="W329" s="1">
        <f t="shared" ref="W329" si="955">W328-W330</f>
        <v>0</v>
      </c>
      <c r="X329" s="1">
        <f t="shared" ref="X329" si="956">X328-X330</f>
        <v>0</v>
      </c>
      <c r="Y329" s="1">
        <f t="shared" ref="Y329" si="957">Y328-Y330</f>
        <v>0</v>
      </c>
      <c r="Z329" s="1">
        <f t="shared" ref="Z329" si="958">Z328-Z330</f>
        <v>0</v>
      </c>
      <c r="AA329" s="1">
        <f t="shared" ref="AA329" si="959">AA328-AA330</f>
        <v>0</v>
      </c>
      <c r="AB329" s="1">
        <f t="shared" ref="AB329" si="960">AB328-AB330</f>
        <v>0</v>
      </c>
      <c r="AC329" s="1">
        <f t="shared" ref="AC329" si="961">AC328-AC330</f>
        <v>0</v>
      </c>
      <c r="AD329" s="1">
        <f t="shared" ref="AD329" si="962">AD328-AD330</f>
        <v>0</v>
      </c>
      <c r="AE329" s="1">
        <f t="shared" ref="AE329" si="963">AE328-AE330</f>
        <v>0</v>
      </c>
    </row>
    <row r="330" spans="1:31" outlineLevel="2" x14ac:dyDescent="0.2">
      <c r="A330" s="2" t="s">
        <v>413</v>
      </c>
      <c r="B330" s="1">
        <f>IF($B323=B327,B328,0)</f>
        <v>0</v>
      </c>
      <c r="C330" s="1">
        <f t="shared" ref="C330:D330" si="964">IF($B323=C327,C328,0)</f>
        <v>0</v>
      </c>
      <c r="D330" s="1">
        <f t="shared" si="964"/>
        <v>0</v>
      </c>
      <c r="E330" s="1">
        <f>IF($B323=E327,E328,0)</f>
        <v>0</v>
      </c>
      <c r="F330" s="1">
        <f t="shared" ref="F330:AE330" si="965">IF($B323=F327,F328,0)</f>
        <v>0</v>
      </c>
      <c r="G330" s="1">
        <f t="shared" si="965"/>
        <v>0</v>
      </c>
      <c r="H330" s="1">
        <f t="shared" si="965"/>
        <v>0</v>
      </c>
      <c r="I330" s="1">
        <f t="shared" si="965"/>
        <v>0</v>
      </c>
      <c r="J330" s="1">
        <f t="shared" si="965"/>
        <v>0</v>
      </c>
      <c r="K330" s="1">
        <f t="shared" si="965"/>
        <v>0</v>
      </c>
      <c r="L330" s="1">
        <f t="shared" si="965"/>
        <v>0</v>
      </c>
      <c r="M330" s="1">
        <f t="shared" si="965"/>
        <v>0</v>
      </c>
      <c r="N330" s="1">
        <f t="shared" si="965"/>
        <v>0</v>
      </c>
      <c r="O330" s="1">
        <f t="shared" si="965"/>
        <v>0</v>
      </c>
      <c r="P330" s="1">
        <f t="shared" si="965"/>
        <v>0</v>
      </c>
      <c r="Q330" s="1">
        <f t="shared" si="965"/>
        <v>0</v>
      </c>
      <c r="R330" s="1">
        <f t="shared" si="965"/>
        <v>0</v>
      </c>
      <c r="S330" s="1">
        <f t="shared" si="965"/>
        <v>0</v>
      </c>
      <c r="T330" s="1">
        <f t="shared" si="965"/>
        <v>0</v>
      </c>
      <c r="U330" s="1">
        <f t="shared" si="965"/>
        <v>0</v>
      </c>
      <c r="V330" s="1">
        <f t="shared" si="965"/>
        <v>0</v>
      </c>
      <c r="W330" s="1">
        <f t="shared" si="965"/>
        <v>0</v>
      </c>
      <c r="X330" s="1">
        <f t="shared" si="965"/>
        <v>0</v>
      </c>
      <c r="Y330" s="1">
        <f t="shared" si="965"/>
        <v>0</v>
      </c>
      <c r="Z330" s="1">
        <f t="shared" si="965"/>
        <v>0</v>
      </c>
      <c r="AA330" s="1">
        <f t="shared" si="965"/>
        <v>0</v>
      </c>
      <c r="AB330" s="1">
        <f t="shared" si="965"/>
        <v>0</v>
      </c>
      <c r="AC330" s="1">
        <f t="shared" si="965"/>
        <v>0</v>
      </c>
      <c r="AD330" s="1">
        <f t="shared" si="965"/>
        <v>0</v>
      </c>
      <c r="AE330" s="1">
        <f t="shared" si="965"/>
        <v>0</v>
      </c>
    </row>
    <row r="331" spans="1:31" outlineLevel="2" x14ac:dyDescent="0.2">
      <c r="A331" s="2" t="s">
        <v>414</v>
      </c>
      <c r="B331" s="1">
        <f>IF($B323&gt;=B327,B328*$B322,0)</f>
        <v>0</v>
      </c>
      <c r="C331" s="1">
        <f t="shared" ref="C331:AE331" si="966">IF($B323&gt;=C327,C328*$B322,0)</f>
        <v>0</v>
      </c>
      <c r="D331" s="1">
        <f t="shared" si="966"/>
        <v>0</v>
      </c>
      <c r="E331" s="1">
        <f t="shared" si="966"/>
        <v>0</v>
      </c>
      <c r="F331" s="1">
        <f t="shared" si="966"/>
        <v>0</v>
      </c>
      <c r="G331" s="1">
        <f t="shared" si="966"/>
        <v>0</v>
      </c>
      <c r="H331" s="1">
        <f t="shared" si="966"/>
        <v>0</v>
      </c>
      <c r="I331" s="1">
        <f t="shared" si="966"/>
        <v>0</v>
      </c>
      <c r="J331" s="1">
        <f t="shared" si="966"/>
        <v>0</v>
      </c>
      <c r="K331" s="1">
        <f t="shared" si="966"/>
        <v>0</v>
      </c>
      <c r="L331" s="1">
        <f t="shared" si="966"/>
        <v>0</v>
      </c>
      <c r="M331" s="1">
        <f t="shared" si="966"/>
        <v>0</v>
      </c>
      <c r="N331" s="1">
        <f t="shared" si="966"/>
        <v>0</v>
      </c>
      <c r="O331" s="1">
        <f t="shared" si="966"/>
        <v>0</v>
      </c>
      <c r="P331" s="1">
        <f t="shared" si="966"/>
        <v>0</v>
      </c>
      <c r="Q331" s="1">
        <f t="shared" si="966"/>
        <v>0</v>
      </c>
      <c r="R331" s="1">
        <f t="shared" si="966"/>
        <v>0</v>
      </c>
      <c r="S331" s="1">
        <f t="shared" si="966"/>
        <v>0</v>
      </c>
      <c r="T331" s="1">
        <f t="shared" si="966"/>
        <v>0</v>
      </c>
      <c r="U331" s="1">
        <f t="shared" si="966"/>
        <v>0</v>
      </c>
      <c r="V331" s="1">
        <f t="shared" si="966"/>
        <v>0</v>
      </c>
      <c r="W331" s="1">
        <f t="shared" si="966"/>
        <v>0</v>
      </c>
      <c r="X331" s="1">
        <f t="shared" si="966"/>
        <v>0</v>
      </c>
      <c r="Y331" s="1">
        <f t="shared" si="966"/>
        <v>0</v>
      </c>
      <c r="Z331" s="1">
        <f t="shared" si="966"/>
        <v>0</v>
      </c>
      <c r="AA331" s="1">
        <f t="shared" si="966"/>
        <v>0</v>
      </c>
      <c r="AB331" s="1">
        <f t="shared" si="966"/>
        <v>0</v>
      </c>
      <c r="AC331" s="1">
        <f t="shared" si="966"/>
        <v>0</v>
      </c>
      <c r="AD331" s="1">
        <f t="shared" si="966"/>
        <v>0</v>
      </c>
      <c r="AE331" s="1">
        <f t="shared" si="966"/>
        <v>0</v>
      </c>
    </row>
    <row r="332" spans="1:31" outlineLevel="2" x14ac:dyDescent="0.2">
      <c r="A332" s="2" t="s">
        <v>422</v>
      </c>
      <c r="B332" s="1">
        <f>B330+B331</f>
        <v>0</v>
      </c>
      <c r="C332" s="1">
        <f t="shared" ref="C332:D332" si="967">C330+C331</f>
        <v>0</v>
      </c>
      <c r="D332" s="1">
        <f t="shared" si="967"/>
        <v>0</v>
      </c>
      <c r="E332" s="1">
        <f>E330+E331</f>
        <v>0</v>
      </c>
      <c r="F332" s="1">
        <f t="shared" ref="F332:AE332" si="968">F330+F331</f>
        <v>0</v>
      </c>
      <c r="G332" s="1">
        <f t="shared" si="968"/>
        <v>0</v>
      </c>
      <c r="H332" s="1">
        <f t="shared" si="968"/>
        <v>0</v>
      </c>
      <c r="I332" s="1">
        <f t="shared" si="968"/>
        <v>0</v>
      </c>
      <c r="J332" s="1">
        <f t="shared" si="968"/>
        <v>0</v>
      </c>
      <c r="K332" s="1">
        <f t="shared" si="968"/>
        <v>0</v>
      </c>
      <c r="L332" s="1">
        <f t="shared" si="968"/>
        <v>0</v>
      </c>
      <c r="M332" s="1">
        <f t="shared" si="968"/>
        <v>0</v>
      </c>
      <c r="N332" s="1">
        <f t="shared" si="968"/>
        <v>0</v>
      </c>
      <c r="O332" s="1">
        <f t="shared" si="968"/>
        <v>0</v>
      </c>
      <c r="P332" s="1">
        <f t="shared" si="968"/>
        <v>0</v>
      </c>
      <c r="Q332" s="1">
        <f t="shared" si="968"/>
        <v>0</v>
      </c>
      <c r="R332" s="1">
        <f t="shared" si="968"/>
        <v>0</v>
      </c>
      <c r="S332" s="1">
        <f t="shared" si="968"/>
        <v>0</v>
      </c>
      <c r="T332" s="1">
        <f t="shared" si="968"/>
        <v>0</v>
      </c>
      <c r="U332" s="1">
        <f t="shared" si="968"/>
        <v>0</v>
      </c>
      <c r="V332" s="1">
        <f t="shared" si="968"/>
        <v>0</v>
      </c>
      <c r="W332" s="1">
        <f t="shared" si="968"/>
        <v>0</v>
      </c>
      <c r="X332" s="1">
        <f t="shared" si="968"/>
        <v>0</v>
      </c>
      <c r="Y332" s="1">
        <f t="shared" si="968"/>
        <v>0</v>
      </c>
      <c r="Z332" s="1">
        <f t="shared" si="968"/>
        <v>0</v>
      </c>
      <c r="AA332" s="1">
        <f t="shared" si="968"/>
        <v>0</v>
      </c>
      <c r="AB332" s="1">
        <f t="shared" si="968"/>
        <v>0</v>
      </c>
      <c r="AC332" s="1">
        <f t="shared" si="968"/>
        <v>0</v>
      </c>
      <c r="AD332" s="1">
        <f t="shared" si="968"/>
        <v>0</v>
      </c>
      <c r="AE332" s="1">
        <f t="shared" si="968"/>
        <v>0</v>
      </c>
    </row>
    <row r="333" spans="1:31" outlineLevel="1" x14ac:dyDescent="0.2">
      <c r="A333" s="13"/>
    </row>
    <row r="334" spans="1:31" ht="15" outlineLevel="2" x14ac:dyDescent="0.25">
      <c r="A334" s="292" t="str">
        <f>assumptions!A41</f>
        <v>[Additional Field - Specify] (Non-Amortizing)</v>
      </c>
      <c r="B334" s="1"/>
    </row>
    <row r="335" spans="1:31" outlineLevel="2" x14ac:dyDescent="0.2">
      <c r="A335" s="2"/>
      <c r="B335" s="1"/>
    </row>
    <row r="336" spans="1:31" outlineLevel="2" x14ac:dyDescent="0.2">
      <c r="A336" s="297" t="s">
        <v>413</v>
      </c>
      <c r="B336" s="1">
        <f>assumptions!B41</f>
        <v>0</v>
      </c>
    </row>
    <row r="337" spans="1:31" outlineLevel="2" x14ac:dyDescent="0.2">
      <c r="A337" s="297" t="s">
        <v>414</v>
      </c>
      <c r="B337" s="482">
        <f>assumptions!D41</f>
        <v>0</v>
      </c>
    </row>
    <row r="338" spans="1:31" outlineLevel="2" x14ac:dyDescent="0.2">
      <c r="A338" s="297" t="s">
        <v>416</v>
      </c>
      <c r="B338" s="1">
        <f>IF(assumptions!F41="deferred",0,assumptions!F41)</f>
        <v>0</v>
      </c>
    </row>
    <row r="339" spans="1:31" outlineLevel="2" x14ac:dyDescent="0.2">
      <c r="A339" s="297" t="s">
        <v>417</v>
      </c>
      <c r="B339" s="1">
        <f>B336*(B337/12)</f>
        <v>0</v>
      </c>
    </row>
    <row r="340" spans="1:31" outlineLevel="2" x14ac:dyDescent="0.2">
      <c r="A340" s="297" t="s">
        <v>418</v>
      </c>
      <c r="B340" s="72">
        <f>B339*12</f>
        <v>0</v>
      </c>
    </row>
    <row r="341" spans="1:31" outlineLevel="2" x14ac:dyDescent="0.2">
      <c r="A341" s="13"/>
    </row>
    <row r="342" spans="1:31" outlineLevel="2" x14ac:dyDescent="0.2">
      <c r="A342" s="295" t="s">
        <v>419</v>
      </c>
      <c r="B342" s="294">
        <v>1</v>
      </c>
      <c r="C342" s="294">
        <f t="shared" ref="C342" si="969">B342+1</f>
        <v>2</v>
      </c>
      <c r="D342" s="294">
        <f t="shared" ref="D342" si="970">C342+1</f>
        <v>3</v>
      </c>
      <c r="E342" s="294">
        <f t="shared" ref="E342" si="971">D342+1</f>
        <v>4</v>
      </c>
      <c r="F342" s="294">
        <f t="shared" ref="F342" si="972">E342+1</f>
        <v>5</v>
      </c>
      <c r="G342" s="294">
        <f t="shared" ref="G342" si="973">F342+1</f>
        <v>6</v>
      </c>
      <c r="H342" s="294">
        <f t="shared" ref="H342" si="974">G342+1</f>
        <v>7</v>
      </c>
      <c r="I342" s="294">
        <f t="shared" ref="I342" si="975">H342+1</f>
        <v>8</v>
      </c>
      <c r="J342" s="294">
        <f t="shared" ref="J342" si="976">I342+1</f>
        <v>9</v>
      </c>
      <c r="K342" s="294">
        <f t="shared" ref="K342" si="977">J342+1</f>
        <v>10</v>
      </c>
      <c r="L342" s="294">
        <f t="shared" ref="L342" si="978">K342+1</f>
        <v>11</v>
      </c>
      <c r="M342" s="294">
        <f t="shared" ref="M342" si="979">L342+1</f>
        <v>12</v>
      </c>
      <c r="N342" s="294">
        <f t="shared" ref="N342" si="980">M342+1</f>
        <v>13</v>
      </c>
      <c r="O342" s="294">
        <f t="shared" ref="O342" si="981">N342+1</f>
        <v>14</v>
      </c>
      <c r="P342" s="294">
        <f t="shared" ref="P342" si="982">O342+1</f>
        <v>15</v>
      </c>
      <c r="Q342" s="294">
        <f t="shared" ref="Q342" si="983">P342+1</f>
        <v>16</v>
      </c>
      <c r="R342" s="294">
        <f t="shared" ref="R342" si="984">Q342+1</f>
        <v>17</v>
      </c>
      <c r="S342" s="294">
        <f t="shared" ref="S342" si="985">R342+1</f>
        <v>18</v>
      </c>
      <c r="T342" s="294">
        <f t="shared" ref="T342" si="986">S342+1</f>
        <v>19</v>
      </c>
      <c r="U342" s="294">
        <f t="shared" ref="U342" si="987">T342+1</f>
        <v>20</v>
      </c>
      <c r="V342" s="294">
        <f t="shared" ref="V342" si="988">U342+1</f>
        <v>21</v>
      </c>
      <c r="W342" s="294">
        <f t="shared" ref="W342" si="989">V342+1</f>
        <v>22</v>
      </c>
      <c r="X342" s="294">
        <f t="shared" ref="X342" si="990">W342+1</f>
        <v>23</v>
      </c>
      <c r="Y342" s="294">
        <f t="shared" ref="Y342" si="991">X342+1</f>
        <v>24</v>
      </c>
      <c r="Z342" s="294">
        <f t="shared" ref="Z342" si="992">Y342+1</f>
        <v>25</v>
      </c>
      <c r="AA342" s="294">
        <f t="shared" ref="AA342" si="993">Z342+1</f>
        <v>26</v>
      </c>
      <c r="AB342" s="294">
        <f t="shared" ref="AB342" si="994">AA342+1</f>
        <v>27</v>
      </c>
      <c r="AC342" s="294">
        <f t="shared" ref="AC342" si="995">AB342+1</f>
        <v>28</v>
      </c>
      <c r="AD342" s="294">
        <f t="shared" ref="AD342" si="996">AC342+1</f>
        <v>29</v>
      </c>
      <c r="AE342" s="294">
        <f t="shared" ref="AE342" si="997">AD342+1</f>
        <v>30</v>
      </c>
    </row>
    <row r="343" spans="1:31" outlineLevel="2" x14ac:dyDescent="0.2">
      <c r="A343" s="2" t="s">
        <v>420</v>
      </c>
      <c r="B343" s="1">
        <f>B336</f>
        <v>0</v>
      </c>
      <c r="C343" s="1">
        <f>B344</f>
        <v>0</v>
      </c>
      <c r="D343" s="1">
        <f t="shared" ref="D343" si="998">C344</f>
        <v>0</v>
      </c>
      <c r="E343" s="1">
        <f t="shared" ref="E343" si="999">D344</f>
        <v>0</v>
      </c>
      <c r="F343" s="1">
        <f t="shared" ref="F343" si="1000">E344</f>
        <v>0</v>
      </c>
      <c r="G343" s="1">
        <f t="shared" ref="G343" si="1001">F344</f>
        <v>0</v>
      </c>
      <c r="H343" s="1">
        <f t="shared" ref="H343" si="1002">G344</f>
        <v>0</v>
      </c>
      <c r="I343" s="1">
        <f t="shared" ref="I343" si="1003">H344</f>
        <v>0</v>
      </c>
      <c r="J343" s="1">
        <f t="shared" ref="J343" si="1004">I344</f>
        <v>0</v>
      </c>
      <c r="K343" s="1">
        <f t="shared" ref="K343" si="1005">J344</f>
        <v>0</v>
      </c>
      <c r="L343" s="1">
        <f t="shared" ref="L343" si="1006">K344</f>
        <v>0</v>
      </c>
      <c r="M343" s="1">
        <f t="shared" ref="M343" si="1007">L344</f>
        <v>0</v>
      </c>
      <c r="N343" s="1">
        <f t="shared" ref="N343" si="1008">M344</f>
        <v>0</v>
      </c>
      <c r="O343" s="1">
        <f t="shared" ref="O343" si="1009">N344</f>
        <v>0</v>
      </c>
      <c r="P343" s="1">
        <f t="shared" ref="P343" si="1010">O344</f>
        <v>0</v>
      </c>
      <c r="Q343" s="1">
        <f t="shared" ref="Q343" si="1011">P344</f>
        <v>0</v>
      </c>
      <c r="R343" s="1">
        <f t="shared" ref="R343" si="1012">Q344</f>
        <v>0</v>
      </c>
      <c r="S343" s="1">
        <f t="shared" ref="S343" si="1013">R344</f>
        <v>0</v>
      </c>
      <c r="T343" s="1">
        <f t="shared" ref="T343" si="1014">S344</f>
        <v>0</v>
      </c>
      <c r="U343" s="1">
        <f t="shared" ref="U343" si="1015">T344</f>
        <v>0</v>
      </c>
      <c r="V343" s="1">
        <f t="shared" ref="V343" si="1016">U344</f>
        <v>0</v>
      </c>
      <c r="W343" s="1">
        <f t="shared" ref="W343" si="1017">V344</f>
        <v>0</v>
      </c>
      <c r="X343" s="1">
        <f t="shared" ref="X343" si="1018">W344</f>
        <v>0</v>
      </c>
      <c r="Y343" s="1">
        <f t="shared" ref="Y343" si="1019">X344</f>
        <v>0</v>
      </c>
      <c r="Z343" s="1">
        <f t="shared" ref="Z343" si="1020">Y344</f>
        <v>0</v>
      </c>
      <c r="AA343" s="1">
        <f t="shared" ref="AA343" si="1021">Z344</f>
        <v>0</v>
      </c>
      <c r="AB343" s="1">
        <f t="shared" ref="AB343" si="1022">AA344</f>
        <v>0</v>
      </c>
      <c r="AC343" s="1">
        <f t="shared" ref="AC343" si="1023">AB344</f>
        <v>0</v>
      </c>
      <c r="AD343" s="1">
        <f t="shared" ref="AD343" si="1024">AC344</f>
        <v>0</v>
      </c>
      <c r="AE343" s="1">
        <f t="shared" ref="AE343" si="1025">AD344</f>
        <v>0</v>
      </c>
    </row>
    <row r="344" spans="1:31" outlineLevel="2" x14ac:dyDescent="0.2">
      <c r="A344" s="2" t="s">
        <v>421</v>
      </c>
      <c r="B344" s="1">
        <f>B343-B345</f>
        <v>0</v>
      </c>
      <c r="C344" s="1">
        <f t="shared" ref="C344" si="1026">C343-C345</f>
        <v>0</v>
      </c>
      <c r="D344" s="1">
        <f t="shared" ref="D344" si="1027">D343-D345</f>
        <v>0</v>
      </c>
      <c r="E344" s="1">
        <f>E343-E345</f>
        <v>0</v>
      </c>
      <c r="F344" s="1">
        <f t="shared" ref="F344" si="1028">F343-F345</f>
        <v>0</v>
      </c>
      <c r="G344" s="1">
        <f t="shared" ref="G344" si="1029">G343-G345</f>
        <v>0</v>
      </c>
      <c r="H344" s="1">
        <f t="shared" ref="H344" si="1030">H343-H345</f>
        <v>0</v>
      </c>
      <c r="I344" s="1">
        <f t="shared" ref="I344" si="1031">I343-I345</f>
        <v>0</v>
      </c>
      <c r="J344" s="1">
        <f t="shared" ref="J344" si="1032">J343-J345</f>
        <v>0</v>
      </c>
      <c r="K344" s="1">
        <f t="shared" ref="K344" si="1033">K343-K345</f>
        <v>0</v>
      </c>
      <c r="L344" s="1">
        <f t="shared" ref="L344" si="1034">L343-L345</f>
        <v>0</v>
      </c>
      <c r="M344" s="1">
        <f t="shared" ref="M344" si="1035">M343-M345</f>
        <v>0</v>
      </c>
      <c r="N344" s="1">
        <f t="shared" ref="N344" si="1036">N343-N345</f>
        <v>0</v>
      </c>
      <c r="O344" s="1">
        <f t="shared" ref="O344" si="1037">O343-O345</f>
        <v>0</v>
      </c>
      <c r="P344" s="1">
        <f t="shared" ref="P344" si="1038">P343-P345</f>
        <v>0</v>
      </c>
      <c r="Q344" s="1">
        <f t="shared" ref="Q344" si="1039">Q343-Q345</f>
        <v>0</v>
      </c>
      <c r="R344" s="1">
        <f t="shared" ref="R344" si="1040">R343-R345</f>
        <v>0</v>
      </c>
      <c r="S344" s="1">
        <f t="shared" ref="S344" si="1041">S343-S345</f>
        <v>0</v>
      </c>
      <c r="T344" s="1">
        <f t="shared" ref="T344" si="1042">T343-T345</f>
        <v>0</v>
      </c>
      <c r="U344" s="1">
        <f t="shared" ref="U344" si="1043">U343-U345</f>
        <v>0</v>
      </c>
      <c r="V344" s="1">
        <f t="shared" ref="V344" si="1044">V343-V345</f>
        <v>0</v>
      </c>
      <c r="W344" s="1">
        <f t="shared" ref="W344" si="1045">W343-W345</f>
        <v>0</v>
      </c>
      <c r="X344" s="1">
        <f t="shared" ref="X344" si="1046">X343-X345</f>
        <v>0</v>
      </c>
      <c r="Y344" s="1">
        <f t="shared" ref="Y344" si="1047">Y343-Y345</f>
        <v>0</v>
      </c>
      <c r="Z344" s="1">
        <f t="shared" ref="Z344" si="1048">Z343-Z345</f>
        <v>0</v>
      </c>
      <c r="AA344" s="1">
        <f t="shared" ref="AA344" si="1049">AA343-AA345</f>
        <v>0</v>
      </c>
      <c r="AB344" s="1">
        <f t="shared" ref="AB344" si="1050">AB343-AB345</f>
        <v>0</v>
      </c>
      <c r="AC344" s="1">
        <f t="shared" ref="AC344" si="1051">AC343-AC345</f>
        <v>0</v>
      </c>
      <c r="AD344" s="1">
        <f t="shared" ref="AD344" si="1052">AD343-AD345</f>
        <v>0</v>
      </c>
      <c r="AE344" s="1">
        <f t="shared" ref="AE344" si="1053">AE343-AE345</f>
        <v>0</v>
      </c>
    </row>
    <row r="345" spans="1:31" outlineLevel="2" x14ac:dyDescent="0.2">
      <c r="A345" s="2" t="s">
        <v>413</v>
      </c>
      <c r="B345" s="1">
        <f>IF($B338=B342,B343,0)</f>
        <v>0</v>
      </c>
      <c r="C345" s="1">
        <f>IF($B338=C342,C343,0)</f>
        <v>0</v>
      </c>
      <c r="D345" s="1">
        <f>IF($B338=D342,D343,0)</f>
        <v>0</v>
      </c>
      <c r="E345" s="1">
        <f>IF($B338=E342,E343,0)</f>
        <v>0</v>
      </c>
      <c r="F345" s="1">
        <f t="shared" ref="F345:AE345" si="1054">IF($B338=F342,F343,0)</f>
        <v>0</v>
      </c>
      <c r="G345" s="1">
        <f t="shared" si="1054"/>
        <v>0</v>
      </c>
      <c r="H345" s="1">
        <f t="shared" si="1054"/>
        <v>0</v>
      </c>
      <c r="I345" s="1">
        <f t="shared" si="1054"/>
        <v>0</v>
      </c>
      <c r="J345" s="1">
        <f t="shared" si="1054"/>
        <v>0</v>
      </c>
      <c r="K345" s="1">
        <f t="shared" si="1054"/>
        <v>0</v>
      </c>
      <c r="L345" s="1">
        <f t="shared" si="1054"/>
        <v>0</v>
      </c>
      <c r="M345" s="1">
        <f t="shared" si="1054"/>
        <v>0</v>
      </c>
      <c r="N345" s="1">
        <f t="shared" si="1054"/>
        <v>0</v>
      </c>
      <c r="O345" s="1">
        <f t="shared" si="1054"/>
        <v>0</v>
      </c>
      <c r="P345" s="1">
        <f t="shared" si="1054"/>
        <v>0</v>
      </c>
      <c r="Q345" s="1">
        <f t="shared" si="1054"/>
        <v>0</v>
      </c>
      <c r="R345" s="1">
        <f t="shared" si="1054"/>
        <v>0</v>
      </c>
      <c r="S345" s="1">
        <f t="shared" si="1054"/>
        <v>0</v>
      </c>
      <c r="T345" s="1">
        <f t="shared" si="1054"/>
        <v>0</v>
      </c>
      <c r="U345" s="1">
        <f t="shared" si="1054"/>
        <v>0</v>
      </c>
      <c r="V345" s="1">
        <f t="shared" si="1054"/>
        <v>0</v>
      </c>
      <c r="W345" s="1">
        <f t="shared" si="1054"/>
        <v>0</v>
      </c>
      <c r="X345" s="1">
        <f t="shared" si="1054"/>
        <v>0</v>
      </c>
      <c r="Y345" s="1">
        <f t="shared" si="1054"/>
        <v>0</v>
      </c>
      <c r="Z345" s="1">
        <f t="shared" si="1054"/>
        <v>0</v>
      </c>
      <c r="AA345" s="1">
        <f t="shared" si="1054"/>
        <v>0</v>
      </c>
      <c r="AB345" s="1">
        <f t="shared" si="1054"/>
        <v>0</v>
      </c>
      <c r="AC345" s="1">
        <f t="shared" si="1054"/>
        <v>0</v>
      </c>
      <c r="AD345" s="1">
        <f t="shared" si="1054"/>
        <v>0</v>
      </c>
      <c r="AE345" s="1">
        <f t="shared" si="1054"/>
        <v>0</v>
      </c>
    </row>
    <row r="346" spans="1:31" outlineLevel="2" x14ac:dyDescent="0.2">
      <c r="A346" s="2" t="s">
        <v>414</v>
      </c>
      <c r="B346" s="1">
        <f>IF($B338&gt;=B342,B343*$B337,0)</f>
        <v>0</v>
      </c>
      <c r="C346" s="1">
        <f t="shared" ref="C346:AE346" si="1055">IF($B338&gt;=C342,C343*$B337,0)</f>
        <v>0</v>
      </c>
      <c r="D346" s="1">
        <f t="shared" si="1055"/>
        <v>0</v>
      </c>
      <c r="E346" s="1">
        <f>IF($B338&gt;=E342,E343*$B337,0)</f>
        <v>0</v>
      </c>
      <c r="F346" s="1">
        <f t="shared" si="1055"/>
        <v>0</v>
      </c>
      <c r="G346" s="1">
        <f t="shared" si="1055"/>
        <v>0</v>
      </c>
      <c r="H346" s="1">
        <f t="shared" si="1055"/>
        <v>0</v>
      </c>
      <c r="I346" s="1">
        <f t="shared" si="1055"/>
        <v>0</v>
      </c>
      <c r="J346" s="1">
        <f t="shared" si="1055"/>
        <v>0</v>
      </c>
      <c r="K346" s="1">
        <f t="shared" si="1055"/>
        <v>0</v>
      </c>
      <c r="L346" s="1">
        <f t="shared" si="1055"/>
        <v>0</v>
      </c>
      <c r="M346" s="1">
        <f t="shared" si="1055"/>
        <v>0</v>
      </c>
      <c r="N346" s="1">
        <f t="shared" si="1055"/>
        <v>0</v>
      </c>
      <c r="O346" s="1">
        <f t="shared" si="1055"/>
        <v>0</v>
      </c>
      <c r="P346" s="1">
        <f t="shared" si="1055"/>
        <v>0</v>
      </c>
      <c r="Q346" s="1">
        <f t="shared" si="1055"/>
        <v>0</v>
      </c>
      <c r="R346" s="1">
        <f t="shared" si="1055"/>
        <v>0</v>
      </c>
      <c r="S346" s="1">
        <f t="shared" si="1055"/>
        <v>0</v>
      </c>
      <c r="T346" s="1">
        <f t="shared" si="1055"/>
        <v>0</v>
      </c>
      <c r="U346" s="1">
        <f t="shared" si="1055"/>
        <v>0</v>
      </c>
      <c r="V346" s="1">
        <f t="shared" si="1055"/>
        <v>0</v>
      </c>
      <c r="W346" s="1">
        <f t="shared" si="1055"/>
        <v>0</v>
      </c>
      <c r="X346" s="1">
        <f t="shared" si="1055"/>
        <v>0</v>
      </c>
      <c r="Y346" s="1">
        <f t="shared" si="1055"/>
        <v>0</v>
      </c>
      <c r="Z346" s="1">
        <f t="shared" si="1055"/>
        <v>0</v>
      </c>
      <c r="AA346" s="1">
        <f t="shared" si="1055"/>
        <v>0</v>
      </c>
      <c r="AB346" s="1">
        <f t="shared" si="1055"/>
        <v>0</v>
      </c>
      <c r="AC346" s="1">
        <f t="shared" si="1055"/>
        <v>0</v>
      </c>
      <c r="AD346" s="1">
        <f t="shared" si="1055"/>
        <v>0</v>
      </c>
      <c r="AE346" s="1">
        <f t="shared" si="1055"/>
        <v>0</v>
      </c>
    </row>
    <row r="347" spans="1:31" outlineLevel="2" x14ac:dyDescent="0.2">
      <c r="A347" s="2" t="s">
        <v>422</v>
      </c>
      <c r="B347" s="1">
        <f>B345+B346</f>
        <v>0</v>
      </c>
      <c r="C347" s="1">
        <f t="shared" ref="C347:D347" si="1056">C345+C346</f>
        <v>0</v>
      </c>
      <c r="D347" s="1">
        <f t="shared" si="1056"/>
        <v>0</v>
      </c>
      <c r="E347" s="1">
        <f>E345+E346</f>
        <v>0</v>
      </c>
      <c r="F347" s="1">
        <f t="shared" ref="F347:AE347" si="1057">F345+F346</f>
        <v>0</v>
      </c>
      <c r="G347" s="1">
        <f t="shared" si="1057"/>
        <v>0</v>
      </c>
      <c r="H347" s="1">
        <f t="shared" si="1057"/>
        <v>0</v>
      </c>
      <c r="I347" s="1">
        <f t="shared" si="1057"/>
        <v>0</v>
      </c>
      <c r="J347" s="1">
        <f t="shared" si="1057"/>
        <v>0</v>
      </c>
      <c r="K347" s="1">
        <f t="shared" si="1057"/>
        <v>0</v>
      </c>
      <c r="L347" s="1">
        <f t="shared" si="1057"/>
        <v>0</v>
      </c>
      <c r="M347" s="1">
        <f t="shared" si="1057"/>
        <v>0</v>
      </c>
      <c r="N347" s="1">
        <f t="shared" si="1057"/>
        <v>0</v>
      </c>
      <c r="O347" s="1">
        <f t="shared" si="1057"/>
        <v>0</v>
      </c>
      <c r="P347" s="1">
        <f t="shared" si="1057"/>
        <v>0</v>
      </c>
      <c r="Q347" s="1">
        <f t="shared" si="1057"/>
        <v>0</v>
      </c>
      <c r="R347" s="1">
        <f t="shared" si="1057"/>
        <v>0</v>
      </c>
      <c r="S347" s="1">
        <f t="shared" si="1057"/>
        <v>0</v>
      </c>
      <c r="T347" s="1">
        <f t="shared" si="1057"/>
        <v>0</v>
      </c>
      <c r="U347" s="1">
        <f t="shared" si="1057"/>
        <v>0</v>
      </c>
      <c r="V347" s="1">
        <f t="shared" si="1057"/>
        <v>0</v>
      </c>
      <c r="W347" s="1">
        <f t="shared" si="1057"/>
        <v>0</v>
      </c>
      <c r="X347" s="1">
        <f t="shared" si="1057"/>
        <v>0</v>
      </c>
      <c r="Y347" s="1">
        <f t="shared" si="1057"/>
        <v>0</v>
      </c>
      <c r="Z347" s="1">
        <f t="shared" si="1057"/>
        <v>0</v>
      </c>
      <c r="AA347" s="1">
        <f t="shared" si="1057"/>
        <v>0</v>
      </c>
      <c r="AB347" s="1">
        <f t="shared" si="1057"/>
        <v>0</v>
      </c>
      <c r="AC347" s="1">
        <f t="shared" si="1057"/>
        <v>0</v>
      </c>
      <c r="AD347" s="1">
        <f t="shared" si="1057"/>
        <v>0</v>
      </c>
      <c r="AE347" s="1">
        <f t="shared" si="1057"/>
        <v>0</v>
      </c>
    </row>
    <row r="348" spans="1:31" outlineLevel="1" x14ac:dyDescent="0.2">
      <c r="A348" s="13"/>
    </row>
    <row r="349" spans="1:31" ht="15" outlineLevel="2" x14ac:dyDescent="0.25">
      <c r="A349" s="292" t="str">
        <f>assumptions!A42</f>
        <v>[Additional Field - Specify] (Non-Amortizing)</v>
      </c>
      <c r="B349" s="1"/>
    </row>
    <row r="350" spans="1:31" outlineLevel="2" x14ac:dyDescent="0.2">
      <c r="A350" s="2"/>
      <c r="B350" s="1"/>
    </row>
    <row r="351" spans="1:31" outlineLevel="2" x14ac:dyDescent="0.2">
      <c r="A351" s="297" t="s">
        <v>413</v>
      </c>
      <c r="B351" s="1">
        <f>assumptions!B42</f>
        <v>0</v>
      </c>
    </row>
    <row r="352" spans="1:31" outlineLevel="2" x14ac:dyDescent="0.2">
      <c r="A352" s="297" t="s">
        <v>414</v>
      </c>
      <c r="B352" s="482">
        <f>assumptions!D42</f>
        <v>0</v>
      </c>
    </row>
    <row r="353" spans="1:31" outlineLevel="2" x14ac:dyDescent="0.2">
      <c r="A353" s="297" t="s">
        <v>416</v>
      </c>
      <c r="B353" s="1">
        <f>IF(assumptions!F42="deferred",0,assumptions!F42)</f>
        <v>0</v>
      </c>
    </row>
    <row r="354" spans="1:31" outlineLevel="2" x14ac:dyDescent="0.2">
      <c r="A354" s="297" t="s">
        <v>417</v>
      </c>
      <c r="B354" s="1">
        <f>B351*(B352/12)</f>
        <v>0</v>
      </c>
    </row>
    <row r="355" spans="1:31" outlineLevel="2" x14ac:dyDescent="0.2">
      <c r="A355" s="297" t="s">
        <v>418</v>
      </c>
      <c r="B355" s="72">
        <f>B354*12</f>
        <v>0</v>
      </c>
    </row>
    <row r="356" spans="1:31" outlineLevel="2" x14ac:dyDescent="0.2">
      <c r="A356" s="13"/>
    </row>
    <row r="357" spans="1:31" outlineLevel="2" x14ac:dyDescent="0.2">
      <c r="A357" s="295" t="s">
        <v>419</v>
      </c>
      <c r="B357" s="294">
        <v>1</v>
      </c>
      <c r="C357" s="294">
        <f t="shared" ref="C357" si="1058">B357+1</f>
        <v>2</v>
      </c>
      <c r="D357" s="294">
        <f t="shared" ref="D357" si="1059">C357+1</f>
        <v>3</v>
      </c>
      <c r="E357" s="294">
        <f t="shared" ref="E357" si="1060">D357+1</f>
        <v>4</v>
      </c>
      <c r="F357" s="294">
        <f t="shared" ref="F357" si="1061">E357+1</f>
        <v>5</v>
      </c>
      <c r="G357" s="294">
        <f t="shared" ref="G357" si="1062">F357+1</f>
        <v>6</v>
      </c>
      <c r="H357" s="294">
        <f t="shared" ref="H357" si="1063">G357+1</f>
        <v>7</v>
      </c>
      <c r="I357" s="294">
        <f t="shared" ref="I357" si="1064">H357+1</f>
        <v>8</v>
      </c>
      <c r="J357" s="294">
        <f t="shared" ref="J357" si="1065">I357+1</f>
        <v>9</v>
      </c>
      <c r="K357" s="294">
        <f t="shared" ref="K357" si="1066">J357+1</f>
        <v>10</v>
      </c>
      <c r="L357" s="294">
        <f t="shared" ref="L357" si="1067">K357+1</f>
        <v>11</v>
      </c>
      <c r="M357" s="294">
        <f t="shared" ref="M357" si="1068">L357+1</f>
        <v>12</v>
      </c>
      <c r="N357" s="294">
        <f t="shared" ref="N357" si="1069">M357+1</f>
        <v>13</v>
      </c>
      <c r="O357" s="294">
        <f t="shared" ref="O357" si="1070">N357+1</f>
        <v>14</v>
      </c>
      <c r="P357" s="294">
        <f t="shared" ref="P357" si="1071">O357+1</f>
        <v>15</v>
      </c>
      <c r="Q357" s="294">
        <f t="shared" ref="Q357" si="1072">P357+1</f>
        <v>16</v>
      </c>
      <c r="R357" s="294">
        <f t="shared" ref="R357" si="1073">Q357+1</f>
        <v>17</v>
      </c>
      <c r="S357" s="294">
        <f t="shared" ref="S357" si="1074">R357+1</f>
        <v>18</v>
      </c>
      <c r="T357" s="294">
        <f t="shared" ref="T357" si="1075">S357+1</f>
        <v>19</v>
      </c>
      <c r="U357" s="294">
        <f t="shared" ref="U357" si="1076">T357+1</f>
        <v>20</v>
      </c>
      <c r="V357" s="294">
        <f t="shared" ref="V357" si="1077">U357+1</f>
        <v>21</v>
      </c>
      <c r="W357" s="294">
        <f t="shared" ref="W357" si="1078">V357+1</f>
        <v>22</v>
      </c>
      <c r="X357" s="294">
        <f t="shared" ref="X357" si="1079">W357+1</f>
        <v>23</v>
      </c>
      <c r="Y357" s="294">
        <f t="shared" ref="Y357" si="1080">X357+1</f>
        <v>24</v>
      </c>
      <c r="Z357" s="294">
        <f t="shared" ref="Z357" si="1081">Y357+1</f>
        <v>25</v>
      </c>
      <c r="AA357" s="294">
        <f t="shared" ref="AA357" si="1082">Z357+1</f>
        <v>26</v>
      </c>
      <c r="AB357" s="294">
        <f t="shared" ref="AB357" si="1083">AA357+1</f>
        <v>27</v>
      </c>
      <c r="AC357" s="294">
        <f t="shared" ref="AC357" si="1084">AB357+1</f>
        <v>28</v>
      </c>
      <c r="AD357" s="294">
        <f t="shared" ref="AD357" si="1085">AC357+1</f>
        <v>29</v>
      </c>
      <c r="AE357" s="294">
        <f t="shared" ref="AE357" si="1086">AD357+1</f>
        <v>30</v>
      </c>
    </row>
    <row r="358" spans="1:31" outlineLevel="2" x14ac:dyDescent="0.2">
      <c r="A358" s="2" t="s">
        <v>420</v>
      </c>
      <c r="B358" s="1">
        <f>B351</f>
        <v>0</v>
      </c>
      <c r="C358" s="1">
        <f>B359</f>
        <v>0</v>
      </c>
      <c r="D358" s="1">
        <f t="shared" ref="D358" si="1087">C359</f>
        <v>0</v>
      </c>
      <c r="E358" s="1">
        <f t="shared" ref="E358" si="1088">D359</f>
        <v>0</v>
      </c>
      <c r="F358" s="1">
        <f t="shared" ref="F358" si="1089">E359</f>
        <v>0</v>
      </c>
      <c r="G358" s="1">
        <f t="shared" ref="G358" si="1090">F359</f>
        <v>0</v>
      </c>
      <c r="H358" s="1">
        <f t="shared" ref="H358" si="1091">G359</f>
        <v>0</v>
      </c>
      <c r="I358" s="1">
        <f t="shared" ref="I358" si="1092">H359</f>
        <v>0</v>
      </c>
      <c r="J358" s="1">
        <f t="shared" ref="J358" si="1093">I359</f>
        <v>0</v>
      </c>
      <c r="K358" s="1">
        <f t="shared" ref="K358" si="1094">J359</f>
        <v>0</v>
      </c>
      <c r="L358" s="1">
        <f t="shared" ref="L358" si="1095">K359</f>
        <v>0</v>
      </c>
      <c r="M358" s="1">
        <f t="shared" ref="M358" si="1096">L359</f>
        <v>0</v>
      </c>
      <c r="N358" s="1">
        <f t="shared" ref="N358" si="1097">M359</f>
        <v>0</v>
      </c>
      <c r="O358" s="1">
        <f t="shared" ref="O358" si="1098">N359</f>
        <v>0</v>
      </c>
      <c r="P358" s="1">
        <f t="shared" ref="P358" si="1099">O359</f>
        <v>0</v>
      </c>
      <c r="Q358" s="1">
        <f t="shared" ref="Q358" si="1100">P359</f>
        <v>0</v>
      </c>
      <c r="R358" s="1">
        <f t="shared" ref="R358" si="1101">Q359</f>
        <v>0</v>
      </c>
      <c r="S358" s="1">
        <f t="shared" ref="S358" si="1102">R359</f>
        <v>0</v>
      </c>
      <c r="T358" s="1">
        <f t="shared" ref="T358" si="1103">S359</f>
        <v>0</v>
      </c>
      <c r="U358" s="1">
        <f t="shared" ref="U358" si="1104">T359</f>
        <v>0</v>
      </c>
      <c r="V358" s="1">
        <f t="shared" ref="V358" si="1105">U359</f>
        <v>0</v>
      </c>
      <c r="W358" s="1">
        <f t="shared" ref="W358" si="1106">V359</f>
        <v>0</v>
      </c>
      <c r="X358" s="1">
        <f t="shared" ref="X358" si="1107">W359</f>
        <v>0</v>
      </c>
      <c r="Y358" s="1">
        <f t="shared" ref="Y358" si="1108">X359</f>
        <v>0</v>
      </c>
      <c r="Z358" s="1">
        <f t="shared" ref="Z358" si="1109">Y359</f>
        <v>0</v>
      </c>
      <c r="AA358" s="1">
        <f t="shared" ref="AA358" si="1110">Z359</f>
        <v>0</v>
      </c>
      <c r="AB358" s="1">
        <f t="shared" ref="AB358" si="1111">AA359</f>
        <v>0</v>
      </c>
      <c r="AC358" s="1">
        <f t="shared" ref="AC358" si="1112">AB359</f>
        <v>0</v>
      </c>
      <c r="AD358" s="1">
        <f t="shared" ref="AD358" si="1113">AC359</f>
        <v>0</v>
      </c>
      <c r="AE358" s="1">
        <f t="shared" ref="AE358" si="1114">AD359</f>
        <v>0</v>
      </c>
    </row>
    <row r="359" spans="1:31" outlineLevel="2" x14ac:dyDescent="0.2">
      <c r="A359" s="2" t="s">
        <v>421</v>
      </c>
      <c r="B359" s="1">
        <f>B358-B360</f>
        <v>0</v>
      </c>
      <c r="C359" s="1">
        <f t="shared" ref="C359" si="1115">C358-C360</f>
        <v>0</v>
      </c>
      <c r="D359" s="1">
        <f t="shared" ref="D359" si="1116">D358-D360</f>
        <v>0</v>
      </c>
      <c r="E359" s="1">
        <f>E358-E360</f>
        <v>0</v>
      </c>
      <c r="F359" s="1">
        <f t="shared" ref="F359" si="1117">F358-F360</f>
        <v>0</v>
      </c>
      <c r="G359" s="1">
        <f t="shared" ref="G359" si="1118">G358-G360</f>
        <v>0</v>
      </c>
      <c r="H359" s="1">
        <f t="shared" ref="H359" si="1119">H358-H360</f>
        <v>0</v>
      </c>
      <c r="I359" s="1">
        <f t="shared" ref="I359" si="1120">I358-I360</f>
        <v>0</v>
      </c>
      <c r="J359" s="1">
        <f t="shared" ref="J359" si="1121">J358-J360</f>
        <v>0</v>
      </c>
      <c r="K359" s="1">
        <f t="shared" ref="K359" si="1122">K358-K360</f>
        <v>0</v>
      </c>
      <c r="L359" s="1">
        <f t="shared" ref="L359" si="1123">L358-L360</f>
        <v>0</v>
      </c>
      <c r="M359" s="1">
        <f t="shared" ref="M359" si="1124">M358-M360</f>
        <v>0</v>
      </c>
      <c r="N359" s="1">
        <f t="shared" ref="N359" si="1125">N358-N360</f>
        <v>0</v>
      </c>
      <c r="O359" s="1">
        <f t="shared" ref="O359" si="1126">O358-O360</f>
        <v>0</v>
      </c>
      <c r="P359" s="1">
        <f t="shared" ref="P359" si="1127">P358-P360</f>
        <v>0</v>
      </c>
      <c r="Q359" s="1">
        <f t="shared" ref="Q359" si="1128">Q358-Q360</f>
        <v>0</v>
      </c>
      <c r="R359" s="1">
        <f t="shared" ref="R359" si="1129">R358-R360</f>
        <v>0</v>
      </c>
      <c r="S359" s="1">
        <f t="shared" ref="S359" si="1130">S358-S360</f>
        <v>0</v>
      </c>
      <c r="T359" s="1">
        <f t="shared" ref="T359" si="1131">T358-T360</f>
        <v>0</v>
      </c>
      <c r="U359" s="1">
        <f t="shared" ref="U359" si="1132">U358-U360</f>
        <v>0</v>
      </c>
      <c r="V359" s="1">
        <f t="shared" ref="V359" si="1133">V358-V360</f>
        <v>0</v>
      </c>
      <c r="W359" s="1">
        <f t="shared" ref="W359" si="1134">W358-W360</f>
        <v>0</v>
      </c>
      <c r="X359" s="1">
        <f t="shared" ref="X359" si="1135">X358-X360</f>
        <v>0</v>
      </c>
      <c r="Y359" s="1">
        <f t="shared" ref="Y359" si="1136">Y358-Y360</f>
        <v>0</v>
      </c>
      <c r="Z359" s="1">
        <f t="shared" ref="Z359" si="1137">Z358-Z360</f>
        <v>0</v>
      </c>
      <c r="AA359" s="1">
        <f t="shared" ref="AA359" si="1138">AA358-AA360</f>
        <v>0</v>
      </c>
      <c r="AB359" s="1">
        <f t="shared" ref="AB359" si="1139">AB358-AB360</f>
        <v>0</v>
      </c>
      <c r="AC359" s="1">
        <f t="shared" ref="AC359" si="1140">AC358-AC360</f>
        <v>0</v>
      </c>
      <c r="AD359" s="1">
        <f t="shared" ref="AD359" si="1141">AD358-AD360</f>
        <v>0</v>
      </c>
      <c r="AE359" s="1">
        <f t="shared" ref="AE359" si="1142">AE358-AE360</f>
        <v>0</v>
      </c>
    </row>
    <row r="360" spans="1:31" outlineLevel="2" x14ac:dyDescent="0.2">
      <c r="A360" s="2" t="s">
        <v>413</v>
      </c>
      <c r="B360" s="1">
        <f>IF($B353=B357,B358,0)</f>
        <v>0</v>
      </c>
      <c r="C360" s="1">
        <f>IF($B353=C357,C358,0)</f>
        <v>0</v>
      </c>
      <c r="D360" s="1">
        <f>IF($B353=D357,D358,0)</f>
        <v>0</v>
      </c>
      <c r="E360" s="1">
        <f>IF($B353=E357,E358,0)</f>
        <v>0</v>
      </c>
      <c r="F360" s="1">
        <f t="shared" ref="F360:AE360" si="1143">IF($B353=F357,F358,0)</f>
        <v>0</v>
      </c>
      <c r="G360" s="1">
        <f t="shared" si="1143"/>
        <v>0</v>
      </c>
      <c r="H360" s="1">
        <f t="shared" si="1143"/>
        <v>0</v>
      </c>
      <c r="I360" s="1">
        <f t="shared" si="1143"/>
        <v>0</v>
      </c>
      <c r="J360" s="1">
        <f t="shared" si="1143"/>
        <v>0</v>
      </c>
      <c r="K360" s="1">
        <f t="shared" si="1143"/>
        <v>0</v>
      </c>
      <c r="L360" s="1">
        <f t="shared" si="1143"/>
        <v>0</v>
      </c>
      <c r="M360" s="1">
        <f t="shared" si="1143"/>
        <v>0</v>
      </c>
      <c r="N360" s="1">
        <f t="shared" si="1143"/>
        <v>0</v>
      </c>
      <c r="O360" s="1">
        <f t="shared" si="1143"/>
        <v>0</v>
      </c>
      <c r="P360" s="1">
        <f t="shared" si="1143"/>
        <v>0</v>
      </c>
      <c r="Q360" s="1">
        <f t="shared" si="1143"/>
        <v>0</v>
      </c>
      <c r="R360" s="1">
        <f t="shared" si="1143"/>
        <v>0</v>
      </c>
      <c r="S360" s="1">
        <f t="shared" si="1143"/>
        <v>0</v>
      </c>
      <c r="T360" s="1">
        <f t="shared" si="1143"/>
        <v>0</v>
      </c>
      <c r="U360" s="1">
        <f t="shared" si="1143"/>
        <v>0</v>
      </c>
      <c r="V360" s="1">
        <f t="shared" si="1143"/>
        <v>0</v>
      </c>
      <c r="W360" s="1">
        <f t="shared" si="1143"/>
        <v>0</v>
      </c>
      <c r="X360" s="1">
        <f t="shared" si="1143"/>
        <v>0</v>
      </c>
      <c r="Y360" s="1">
        <f t="shared" si="1143"/>
        <v>0</v>
      </c>
      <c r="Z360" s="1">
        <f t="shared" si="1143"/>
        <v>0</v>
      </c>
      <c r="AA360" s="1">
        <f t="shared" si="1143"/>
        <v>0</v>
      </c>
      <c r="AB360" s="1">
        <f t="shared" si="1143"/>
        <v>0</v>
      </c>
      <c r="AC360" s="1">
        <f t="shared" si="1143"/>
        <v>0</v>
      </c>
      <c r="AD360" s="1">
        <f t="shared" si="1143"/>
        <v>0</v>
      </c>
      <c r="AE360" s="1">
        <f t="shared" si="1143"/>
        <v>0</v>
      </c>
    </row>
    <row r="361" spans="1:31" outlineLevel="2" x14ac:dyDescent="0.2">
      <c r="A361" s="2" t="s">
        <v>414</v>
      </c>
      <c r="B361" s="1">
        <f>IF($B353&gt;=B357,B358*$B352,0)</f>
        <v>0</v>
      </c>
      <c r="C361" s="1">
        <f>IF($B353&gt;=C357,C358*$B352,0)</f>
        <v>0</v>
      </c>
      <c r="D361" s="1">
        <f t="shared" ref="D361" si="1144">IF($B353&gt;=D357,D358*$B352,0)</f>
        <v>0</v>
      </c>
      <c r="E361" s="1">
        <f>IF($B353&gt;=E357,E358*$B352,0)</f>
        <v>0</v>
      </c>
      <c r="F361" s="1">
        <f t="shared" ref="F361:AE361" si="1145">IF($B353&gt;=F357,F358*$B352,0)</f>
        <v>0</v>
      </c>
      <c r="G361" s="1">
        <f t="shared" si="1145"/>
        <v>0</v>
      </c>
      <c r="H361" s="1">
        <f t="shared" si="1145"/>
        <v>0</v>
      </c>
      <c r="I361" s="1">
        <f t="shared" si="1145"/>
        <v>0</v>
      </c>
      <c r="J361" s="1">
        <f t="shared" si="1145"/>
        <v>0</v>
      </c>
      <c r="K361" s="1">
        <f t="shared" si="1145"/>
        <v>0</v>
      </c>
      <c r="L361" s="1">
        <f t="shared" si="1145"/>
        <v>0</v>
      </c>
      <c r="M361" s="1">
        <f t="shared" si="1145"/>
        <v>0</v>
      </c>
      <c r="N361" s="1">
        <f t="shared" si="1145"/>
        <v>0</v>
      </c>
      <c r="O361" s="1">
        <f t="shared" si="1145"/>
        <v>0</v>
      </c>
      <c r="P361" s="1">
        <f t="shared" si="1145"/>
        <v>0</v>
      </c>
      <c r="Q361" s="1">
        <f t="shared" si="1145"/>
        <v>0</v>
      </c>
      <c r="R361" s="1">
        <f t="shared" si="1145"/>
        <v>0</v>
      </c>
      <c r="S361" s="1">
        <f t="shared" si="1145"/>
        <v>0</v>
      </c>
      <c r="T361" s="1">
        <f t="shared" si="1145"/>
        <v>0</v>
      </c>
      <c r="U361" s="1">
        <f t="shared" si="1145"/>
        <v>0</v>
      </c>
      <c r="V361" s="1">
        <f t="shared" si="1145"/>
        <v>0</v>
      </c>
      <c r="W361" s="1">
        <f t="shared" si="1145"/>
        <v>0</v>
      </c>
      <c r="X361" s="1">
        <f t="shared" si="1145"/>
        <v>0</v>
      </c>
      <c r="Y361" s="1">
        <f t="shared" si="1145"/>
        <v>0</v>
      </c>
      <c r="Z361" s="1">
        <f t="shared" si="1145"/>
        <v>0</v>
      </c>
      <c r="AA361" s="1">
        <f t="shared" si="1145"/>
        <v>0</v>
      </c>
      <c r="AB361" s="1">
        <f t="shared" si="1145"/>
        <v>0</v>
      </c>
      <c r="AC361" s="1">
        <f t="shared" si="1145"/>
        <v>0</v>
      </c>
      <c r="AD361" s="1">
        <f t="shared" si="1145"/>
        <v>0</v>
      </c>
      <c r="AE361" s="1">
        <f t="shared" si="1145"/>
        <v>0</v>
      </c>
    </row>
    <row r="362" spans="1:31" outlineLevel="2" x14ac:dyDescent="0.2">
      <c r="A362" s="2" t="s">
        <v>422</v>
      </c>
      <c r="B362" s="1">
        <f>B360+B361</f>
        <v>0</v>
      </c>
      <c r="C362" s="1">
        <f t="shared" ref="C362:D362" si="1146">C360+C361</f>
        <v>0</v>
      </c>
      <c r="D362" s="1">
        <f t="shared" si="1146"/>
        <v>0</v>
      </c>
      <c r="E362" s="1">
        <f>E360+E361</f>
        <v>0</v>
      </c>
      <c r="F362" s="1">
        <f t="shared" ref="F362:AE362" si="1147">F360+F361</f>
        <v>0</v>
      </c>
      <c r="G362" s="1">
        <f t="shared" si="1147"/>
        <v>0</v>
      </c>
      <c r="H362" s="1">
        <f t="shared" si="1147"/>
        <v>0</v>
      </c>
      <c r="I362" s="1">
        <f t="shared" si="1147"/>
        <v>0</v>
      </c>
      <c r="J362" s="1">
        <f t="shared" si="1147"/>
        <v>0</v>
      </c>
      <c r="K362" s="1">
        <f t="shared" si="1147"/>
        <v>0</v>
      </c>
      <c r="L362" s="1">
        <f t="shared" si="1147"/>
        <v>0</v>
      </c>
      <c r="M362" s="1">
        <f t="shared" si="1147"/>
        <v>0</v>
      </c>
      <c r="N362" s="1">
        <f t="shared" si="1147"/>
        <v>0</v>
      </c>
      <c r="O362" s="1">
        <f t="shared" si="1147"/>
        <v>0</v>
      </c>
      <c r="P362" s="1">
        <f t="shared" si="1147"/>
        <v>0</v>
      </c>
      <c r="Q362" s="1">
        <f t="shared" si="1147"/>
        <v>0</v>
      </c>
      <c r="R362" s="1">
        <f t="shared" si="1147"/>
        <v>0</v>
      </c>
      <c r="S362" s="1">
        <f t="shared" si="1147"/>
        <v>0</v>
      </c>
      <c r="T362" s="1">
        <f t="shared" si="1147"/>
        <v>0</v>
      </c>
      <c r="U362" s="1">
        <f t="shared" si="1147"/>
        <v>0</v>
      </c>
      <c r="V362" s="1">
        <f t="shared" si="1147"/>
        <v>0</v>
      </c>
      <c r="W362" s="1">
        <f t="shared" si="1147"/>
        <v>0</v>
      </c>
      <c r="X362" s="1">
        <f t="shared" si="1147"/>
        <v>0</v>
      </c>
      <c r="Y362" s="1">
        <f t="shared" si="1147"/>
        <v>0</v>
      </c>
      <c r="Z362" s="1">
        <f t="shared" si="1147"/>
        <v>0</v>
      </c>
      <c r="AA362" s="1">
        <f t="shared" si="1147"/>
        <v>0</v>
      </c>
      <c r="AB362" s="1">
        <f t="shared" si="1147"/>
        <v>0</v>
      </c>
      <c r="AC362" s="1">
        <f t="shared" si="1147"/>
        <v>0</v>
      </c>
      <c r="AD362" s="1">
        <f t="shared" si="1147"/>
        <v>0</v>
      </c>
      <c r="AE362" s="1">
        <f t="shared" si="1147"/>
        <v>0</v>
      </c>
    </row>
    <row r="363" spans="1:31" outlineLevel="1" x14ac:dyDescent="0.2">
      <c r="A363" s="13"/>
    </row>
    <row r="364" spans="1:31" ht="15" outlineLevel="2" x14ac:dyDescent="0.25">
      <c r="A364" s="292" t="str">
        <f>assumptions!A43</f>
        <v>[Additional Field - Specify] (Non-Amortizing)</v>
      </c>
      <c r="B364" s="1"/>
    </row>
    <row r="365" spans="1:31" outlineLevel="2" x14ac:dyDescent="0.2">
      <c r="A365" s="2"/>
      <c r="B365" s="1"/>
    </row>
    <row r="366" spans="1:31" outlineLevel="2" x14ac:dyDescent="0.2">
      <c r="A366" s="297" t="s">
        <v>413</v>
      </c>
      <c r="B366" s="1">
        <f>assumptions!B43</f>
        <v>0</v>
      </c>
    </row>
    <row r="367" spans="1:31" outlineLevel="2" x14ac:dyDescent="0.2">
      <c r="A367" s="297" t="s">
        <v>414</v>
      </c>
      <c r="B367" s="482">
        <f>assumptions!D43</f>
        <v>0</v>
      </c>
    </row>
    <row r="368" spans="1:31" outlineLevel="2" x14ac:dyDescent="0.2">
      <c r="A368" s="297" t="s">
        <v>416</v>
      </c>
      <c r="B368" s="1">
        <f>IF(assumptions!F43="deferred",0,assumptions!F43)</f>
        <v>0</v>
      </c>
    </row>
    <row r="369" spans="1:31" outlineLevel="2" x14ac:dyDescent="0.2">
      <c r="A369" s="297" t="s">
        <v>417</v>
      </c>
      <c r="B369" s="1">
        <f>B366*(B367/12)</f>
        <v>0</v>
      </c>
    </row>
    <row r="370" spans="1:31" outlineLevel="2" x14ac:dyDescent="0.2">
      <c r="A370" s="297" t="s">
        <v>418</v>
      </c>
      <c r="B370" s="72">
        <f>B369*12</f>
        <v>0</v>
      </c>
    </row>
    <row r="371" spans="1:31" outlineLevel="2" x14ac:dyDescent="0.2">
      <c r="A371" s="13"/>
    </row>
    <row r="372" spans="1:31" outlineLevel="2" x14ac:dyDescent="0.2">
      <c r="A372" s="295" t="s">
        <v>419</v>
      </c>
      <c r="B372" s="294">
        <v>1</v>
      </c>
      <c r="C372" s="294">
        <f t="shared" ref="C372" si="1148">B372+1</f>
        <v>2</v>
      </c>
      <c r="D372" s="294">
        <f t="shared" ref="D372" si="1149">C372+1</f>
        <v>3</v>
      </c>
      <c r="E372" s="294">
        <f t="shared" ref="E372" si="1150">D372+1</f>
        <v>4</v>
      </c>
      <c r="F372" s="294">
        <f t="shared" ref="F372" si="1151">E372+1</f>
        <v>5</v>
      </c>
      <c r="G372" s="294">
        <f t="shared" ref="G372" si="1152">F372+1</f>
        <v>6</v>
      </c>
      <c r="H372" s="294">
        <f t="shared" ref="H372" si="1153">G372+1</f>
        <v>7</v>
      </c>
      <c r="I372" s="294">
        <f t="shared" ref="I372" si="1154">H372+1</f>
        <v>8</v>
      </c>
      <c r="J372" s="294">
        <f t="shared" ref="J372" si="1155">I372+1</f>
        <v>9</v>
      </c>
      <c r="K372" s="294">
        <f t="shared" ref="K372" si="1156">J372+1</f>
        <v>10</v>
      </c>
      <c r="L372" s="294">
        <f t="shared" ref="L372" si="1157">K372+1</f>
        <v>11</v>
      </c>
      <c r="M372" s="294">
        <f t="shared" ref="M372" si="1158">L372+1</f>
        <v>12</v>
      </c>
      <c r="N372" s="294">
        <f t="shared" ref="N372" si="1159">M372+1</f>
        <v>13</v>
      </c>
      <c r="O372" s="294">
        <f t="shared" ref="O372" si="1160">N372+1</f>
        <v>14</v>
      </c>
      <c r="P372" s="294">
        <f t="shared" ref="P372" si="1161">O372+1</f>
        <v>15</v>
      </c>
      <c r="Q372" s="294">
        <f t="shared" ref="Q372" si="1162">P372+1</f>
        <v>16</v>
      </c>
      <c r="R372" s="294">
        <f t="shared" ref="R372" si="1163">Q372+1</f>
        <v>17</v>
      </c>
      <c r="S372" s="294">
        <f t="shared" ref="S372" si="1164">R372+1</f>
        <v>18</v>
      </c>
      <c r="T372" s="294">
        <f t="shared" ref="T372" si="1165">S372+1</f>
        <v>19</v>
      </c>
      <c r="U372" s="294">
        <f t="shared" ref="U372" si="1166">T372+1</f>
        <v>20</v>
      </c>
      <c r="V372" s="294">
        <f t="shared" ref="V372" si="1167">U372+1</f>
        <v>21</v>
      </c>
      <c r="W372" s="294">
        <f t="shared" ref="W372" si="1168">V372+1</f>
        <v>22</v>
      </c>
      <c r="X372" s="294">
        <f t="shared" ref="X372" si="1169">W372+1</f>
        <v>23</v>
      </c>
      <c r="Y372" s="294">
        <f t="shared" ref="Y372" si="1170">X372+1</f>
        <v>24</v>
      </c>
      <c r="Z372" s="294">
        <f t="shared" ref="Z372" si="1171">Y372+1</f>
        <v>25</v>
      </c>
      <c r="AA372" s="294">
        <f t="shared" ref="AA372" si="1172">Z372+1</f>
        <v>26</v>
      </c>
      <c r="AB372" s="294">
        <f t="shared" ref="AB372" si="1173">AA372+1</f>
        <v>27</v>
      </c>
      <c r="AC372" s="294">
        <f t="shared" ref="AC372" si="1174">AB372+1</f>
        <v>28</v>
      </c>
      <c r="AD372" s="294">
        <f t="shared" ref="AD372" si="1175">AC372+1</f>
        <v>29</v>
      </c>
      <c r="AE372" s="294">
        <f t="shared" ref="AE372" si="1176">AD372+1</f>
        <v>30</v>
      </c>
    </row>
    <row r="373" spans="1:31" outlineLevel="2" x14ac:dyDescent="0.2">
      <c r="A373" s="2" t="s">
        <v>420</v>
      </c>
      <c r="B373" s="1">
        <f>B366</f>
        <v>0</v>
      </c>
      <c r="C373" s="1">
        <f>B374</f>
        <v>0</v>
      </c>
      <c r="D373" s="1">
        <f t="shared" ref="D373" si="1177">C374</f>
        <v>0</v>
      </c>
      <c r="E373" s="1">
        <f t="shared" ref="E373" si="1178">D374</f>
        <v>0</v>
      </c>
      <c r="F373" s="1">
        <f t="shared" ref="F373" si="1179">E374</f>
        <v>0</v>
      </c>
      <c r="G373" s="1">
        <f t="shared" ref="G373" si="1180">F374</f>
        <v>0</v>
      </c>
      <c r="H373" s="1">
        <f t="shared" ref="H373" si="1181">G374</f>
        <v>0</v>
      </c>
      <c r="I373" s="1">
        <f t="shared" ref="I373" si="1182">H374</f>
        <v>0</v>
      </c>
      <c r="J373" s="1">
        <f t="shared" ref="J373" si="1183">I374</f>
        <v>0</v>
      </c>
      <c r="K373" s="1">
        <f t="shared" ref="K373" si="1184">J374</f>
        <v>0</v>
      </c>
      <c r="L373" s="1">
        <f t="shared" ref="L373" si="1185">K374</f>
        <v>0</v>
      </c>
      <c r="M373" s="1">
        <f t="shared" ref="M373" si="1186">L374</f>
        <v>0</v>
      </c>
      <c r="N373" s="1">
        <f t="shared" ref="N373" si="1187">M374</f>
        <v>0</v>
      </c>
      <c r="O373" s="1">
        <f t="shared" ref="O373" si="1188">N374</f>
        <v>0</v>
      </c>
      <c r="P373" s="1">
        <f t="shared" ref="P373" si="1189">O374</f>
        <v>0</v>
      </c>
      <c r="Q373" s="1">
        <f t="shared" ref="Q373" si="1190">P374</f>
        <v>0</v>
      </c>
      <c r="R373" s="1">
        <f t="shared" ref="R373" si="1191">Q374</f>
        <v>0</v>
      </c>
      <c r="S373" s="1">
        <f t="shared" ref="S373" si="1192">R374</f>
        <v>0</v>
      </c>
      <c r="T373" s="1">
        <f t="shared" ref="T373" si="1193">S374</f>
        <v>0</v>
      </c>
      <c r="U373" s="1">
        <f t="shared" ref="U373" si="1194">T374</f>
        <v>0</v>
      </c>
      <c r="V373" s="1">
        <f t="shared" ref="V373" si="1195">U374</f>
        <v>0</v>
      </c>
      <c r="W373" s="1">
        <f t="shared" ref="W373" si="1196">V374</f>
        <v>0</v>
      </c>
      <c r="X373" s="1">
        <f t="shared" ref="X373" si="1197">W374</f>
        <v>0</v>
      </c>
      <c r="Y373" s="1">
        <f t="shared" ref="Y373" si="1198">X374</f>
        <v>0</v>
      </c>
      <c r="Z373" s="1">
        <f t="shared" ref="Z373" si="1199">Y374</f>
        <v>0</v>
      </c>
      <c r="AA373" s="1">
        <f t="shared" ref="AA373" si="1200">Z374</f>
        <v>0</v>
      </c>
      <c r="AB373" s="1">
        <f t="shared" ref="AB373" si="1201">AA374</f>
        <v>0</v>
      </c>
      <c r="AC373" s="1">
        <f t="shared" ref="AC373" si="1202">AB374</f>
        <v>0</v>
      </c>
      <c r="AD373" s="1">
        <f t="shared" ref="AD373" si="1203">AC374</f>
        <v>0</v>
      </c>
      <c r="AE373" s="1">
        <f t="shared" ref="AE373" si="1204">AD374</f>
        <v>0</v>
      </c>
    </row>
    <row r="374" spans="1:31" outlineLevel="2" x14ac:dyDescent="0.2">
      <c r="A374" s="2" t="s">
        <v>421</v>
      </c>
      <c r="B374" s="1">
        <f>B373-B375</f>
        <v>0</v>
      </c>
      <c r="C374" s="1">
        <f>C373-C375</f>
        <v>0</v>
      </c>
      <c r="D374" s="1">
        <f t="shared" ref="D374" si="1205">D373-D375</f>
        <v>0</v>
      </c>
      <c r="E374" s="1">
        <f>E373-E375</f>
        <v>0</v>
      </c>
      <c r="F374" s="1">
        <f t="shared" ref="F374" si="1206">F373-F375</f>
        <v>0</v>
      </c>
      <c r="G374" s="1">
        <f t="shared" ref="G374" si="1207">G373-G375</f>
        <v>0</v>
      </c>
      <c r="H374" s="1">
        <f t="shared" ref="H374" si="1208">H373-H375</f>
        <v>0</v>
      </c>
      <c r="I374" s="1">
        <f t="shared" ref="I374" si="1209">I373-I375</f>
        <v>0</v>
      </c>
      <c r="J374" s="1">
        <f t="shared" ref="J374" si="1210">J373-J375</f>
        <v>0</v>
      </c>
      <c r="K374" s="1">
        <f t="shared" ref="K374" si="1211">K373-K375</f>
        <v>0</v>
      </c>
      <c r="L374" s="1">
        <f t="shared" ref="L374" si="1212">L373-L375</f>
        <v>0</v>
      </c>
      <c r="M374" s="1">
        <f t="shared" ref="M374" si="1213">M373-M375</f>
        <v>0</v>
      </c>
      <c r="N374" s="1">
        <f t="shared" ref="N374" si="1214">N373-N375</f>
        <v>0</v>
      </c>
      <c r="O374" s="1">
        <f t="shared" ref="O374" si="1215">O373-O375</f>
        <v>0</v>
      </c>
      <c r="P374" s="1">
        <f t="shared" ref="P374" si="1216">P373-P375</f>
        <v>0</v>
      </c>
      <c r="Q374" s="1">
        <f t="shared" ref="Q374" si="1217">Q373-Q375</f>
        <v>0</v>
      </c>
      <c r="R374" s="1">
        <f t="shared" ref="R374" si="1218">R373-R375</f>
        <v>0</v>
      </c>
      <c r="S374" s="1">
        <f t="shared" ref="S374" si="1219">S373-S375</f>
        <v>0</v>
      </c>
      <c r="T374" s="1">
        <f t="shared" ref="T374" si="1220">T373-T375</f>
        <v>0</v>
      </c>
      <c r="U374" s="1">
        <f t="shared" ref="U374" si="1221">U373-U375</f>
        <v>0</v>
      </c>
      <c r="V374" s="1">
        <f t="shared" ref="V374" si="1222">V373-V375</f>
        <v>0</v>
      </c>
      <c r="W374" s="1">
        <f t="shared" ref="W374" si="1223">W373-W375</f>
        <v>0</v>
      </c>
      <c r="X374" s="1">
        <f t="shared" ref="X374" si="1224">X373-X375</f>
        <v>0</v>
      </c>
      <c r="Y374" s="1">
        <f t="shared" ref="Y374" si="1225">Y373-Y375</f>
        <v>0</v>
      </c>
      <c r="Z374" s="1">
        <f t="shared" ref="Z374" si="1226">Z373-Z375</f>
        <v>0</v>
      </c>
      <c r="AA374" s="1">
        <f t="shared" ref="AA374" si="1227">AA373-AA375</f>
        <v>0</v>
      </c>
      <c r="AB374" s="1">
        <f t="shared" ref="AB374" si="1228">AB373-AB375</f>
        <v>0</v>
      </c>
      <c r="AC374" s="1">
        <f t="shared" ref="AC374" si="1229">AC373-AC375</f>
        <v>0</v>
      </c>
      <c r="AD374" s="1">
        <f t="shared" ref="AD374" si="1230">AD373-AD375</f>
        <v>0</v>
      </c>
      <c r="AE374" s="1">
        <f t="shared" ref="AE374" si="1231">AE373-AE375</f>
        <v>0</v>
      </c>
    </row>
    <row r="375" spans="1:31" outlineLevel="2" x14ac:dyDescent="0.2">
      <c r="A375" s="2" t="s">
        <v>413</v>
      </c>
      <c r="B375" s="1">
        <f>IF($B368=B372,B373,0)</f>
        <v>0</v>
      </c>
      <c r="C375" s="1">
        <f>IF($B368=C372,C373,0)</f>
        <v>0</v>
      </c>
      <c r="D375" s="1">
        <f>IF($B368=D372,D373,0)</f>
        <v>0</v>
      </c>
      <c r="E375" s="1">
        <f>IF($B368=E372,E373,0)</f>
        <v>0</v>
      </c>
      <c r="F375" s="1">
        <f t="shared" ref="F375:AE375" si="1232">IF($B368=F372,F373,0)</f>
        <v>0</v>
      </c>
      <c r="G375" s="1">
        <f t="shared" si="1232"/>
        <v>0</v>
      </c>
      <c r="H375" s="1">
        <f t="shared" si="1232"/>
        <v>0</v>
      </c>
      <c r="I375" s="1">
        <f t="shared" si="1232"/>
        <v>0</v>
      </c>
      <c r="J375" s="1">
        <f t="shared" si="1232"/>
        <v>0</v>
      </c>
      <c r="K375" s="1">
        <f t="shared" si="1232"/>
        <v>0</v>
      </c>
      <c r="L375" s="1">
        <f t="shared" si="1232"/>
        <v>0</v>
      </c>
      <c r="M375" s="1">
        <f t="shared" si="1232"/>
        <v>0</v>
      </c>
      <c r="N375" s="1">
        <f t="shared" si="1232"/>
        <v>0</v>
      </c>
      <c r="O375" s="1">
        <f t="shared" si="1232"/>
        <v>0</v>
      </c>
      <c r="P375" s="1">
        <f t="shared" si="1232"/>
        <v>0</v>
      </c>
      <c r="Q375" s="1">
        <f t="shared" si="1232"/>
        <v>0</v>
      </c>
      <c r="R375" s="1">
        <f t="shared" si="1232"/>
        <v>0</v>
      </c>
      <c r="S375" s="1">
        <f t="shared" si="1232"/>
        <v>0</v>
      </c>
      <c r="T375" s="1">
        <f t="shared" si="1232"/>
        <v>0</v>
      </c>
      <c r="U375" s="1">
        <f t="shared" si="1232"/>
        <v>0</v>
      </c>
      <c r="V375" s="1">
        <f t="shared" si="1232"/>
        <v>0</v>
      </c>
      <c r="W375" s="1">
        <f t="shared" si="1232"/>
        <v>0</v>
      </c>
      <c r="X375" s="1">
        <f t="shared" si="1232"/>
        <v>0</v>
      </c>
      <c r="Y375" s="1">
        <f t="shared" si="1232"/>
        <v>0</v>
      </c>
      <c r="Z375" s="1">
        <f t="shared" si="1232"/>
        <v>0</v>
      </c>
      <c r="AA375" s="1">
        <f t="shared" si="1232"/>
        <v>0</v>
      </c>
      <c r="AB375" s="1">
        <f t="shared" si="1232"/>
        <v>0</v>
      </c>
      <c r="AC375" s="1">
        <f t="shared" si="1232"/>
        <v>0</v>
      </c>
      <c r="AD375" s="1">
        <f t="shared" si="1232"/>
        <v>0</v>
      </c>
      <c r="AE375" s="1">
        <f t="shared" si="1232"/>
        <v>0</v>
      </c>
    </row>
    <row r="376" spans="1:31" outlineLevel="2" x14ac:dyDescent="0.2">
      <c r="A376" s="2" t="s">
        <v>414</v>
      </c>
      <c r="B376" s="1">
        <f>IF($B368&gt;=B372,B373*$B367,0)</f>
        <v>0</v>
      </c>
      <c r="C376" s="1">
        <f>IF($B368&gt;=C372,C373*$B367,0)</f>
        <v>0</v>
      </c>
      <c r="D376" s="1">
        <f t="shared" ref="D376" si="1233">IF($B368&gt;=D372,D373*$B367,0)</f>
        <v>0</v>
      </c>
      <c r="E376" s="1">
        <f>IF($B368&gt;=E372,E373*$B367,0)</f>
        <v>0</v>
      </c>
      <c r="F376" s="1">
        <f t="shared" ref="F376:AE376" si="1234">IF($B368&gt;=F372,F373*$B367,0)</f>
        <v>0</v>
      </c>
      <c r="G376" s="1">
        <f t="shared" si="1234"/>
        <v>0</v>
      </c>
      <c r="H376" s="1">
        <f t="shared" si="1234"/>
        <v>0</v>
      </c>
      <c r="I376" s="1">
        <f t="shared" si="1234"/>
        <v>0</v>
      </c>
      <c r="J376" s="1">
        <f t="shared" si="1234"/>
        <v>0</v>
      </c>
      <c r="K376" s="1">
        <f t="shared" si="1234"/>
        <v>0</v>
      </c>
      <c r="L376" s="1">
        <f t="shared" si="1234"/>
        <v>0</v>
      </c>
      <c r="M376" s="1">
        <f t="shared" si="1234"/>
        <v>0</v>
      </c>
      <c r="N376" s="1">
        <f t="shared" si="1234"/>
        <v>0</v>
      </c>
      <c r="O376" s="1">
        <f t="shared" si="1234"/>
        <v>0</v>
      </c>
      <c r="P376" s="1">
        <f t="shared" si="1234"/>
        <v>0</v>
      </c>
      <c r="Q376" s="1">
        <f t="shared" si="1234"/>
        <v>0</v>
      </c>
      <c r="R376" s="1">
        <f t="shared" si="1234"/>
        <v>0</v>
      </c>
      <c r="S376" s="1">
        <f t="shared" si="1234"/>
        <v>0</v>
      </c>
      <c r="T376" s="1">
        <f t="shared" si="1234"/>
        <v>0</v>
      </c>
      <c r="U376" s="1">
        <f t="shared" si="1234"/>
        <v>0</v>
      </c>
      <c r="V376" s="1">
        <f t="shared" si="1234"/>
        <v>0</v>
      </c>
      <c r="W376" s="1">
        <f t="shared" si="1234"/>
        <v>0</v>
      </c>
      <c r="X376" s="1">
        <f t="shared" si="1234"/>
        <v>0</v>
      </c>
      <c r="Y376" s="1">
        <f t="shared" si="1234"/>
        <v>0</v>
      </c>
      <c r="Z376" s="1">
        <f t="shared" si="1234"/>
        <v>0</v>
      </c>
      <c r="AA376" s="1">
        <f t="shared" si="1234"/>
        <v>0</v>
      </c>
      <c r="AB376" s="1">
        <f t="shared" si="1234"/>
        <v>0</v>
      </c>
      <c r="AC376" s="1">
        <f t="shared" si="1234"/>
        <v>0</v>
      </c>
      <c r="AD376" s="1">
        <f t="shared" si="1234"/>
        <v>0</v>
      </c>
      <c r="AE376" s="1">
        <f t="shared" si="1234"/>
        <v>0</v>
      </c>
    </row>
    <row r="377" spans="1:31" outlineLevel="2" x14ac:dyDescent="0.2">
      <c r="A377" s="2" t="s">
        <v>422</v>
      </c>
      <c r="B377" s="1">
        <f>B375+B376</f>
        <v>0</v>
      </c>
      <c r="C377" s="1">
        <f t="shared" ref="C377:D377" si="1235">C375+C376</f>
        <v>0</v>
      </c>
      <c r="D377" s="1">
        <f t="shared" si="1235"/>
        <v>0</v>
      </c>
      <c r="E377" s="1">
        <f>E375+E376</f>
        <v>0</v>
      </c>
      <c r="F377" s="1">
        <f t="shared" ref="F377:AE377" si="1236">F375+F376</f>
        <v>0</v>
      </c>
      <c r="G377" s="1">
        <f t="shared" si="1236"/>
        <v>0</v>
      </c>
      <c r="H377" s="1">
        <f t="shared" si="1236"/>
        <v>0</v>
      </c>
      <c r="I377" s="1">
        <f t="shared" si="1236"/>
        <v>0</v>
      </c>
      <c r="J377" s="1">
        <f t="shared" si="1236"/>
        <v>0</v>
      </c>
      <c r="K377" s="1">
        <f t="shared" si="1236"/>
        <v>0</v>
      </c>
      <c r="L377" s="1">
        <f t="shared" si="1236"/>
        <v>0</v>
      </c>
      <c r="M377" s="1">
        <f t="shared" si="1236"/>
        <v>0</v>
      </c>
      <c r="N377" s="1">
        <f t="shared" si="1236"/>
        <v>0</v>
      </c>
      <c r="O377" s="1">
        <f t="shared" si="1236"/>
        <v>0</v>
      </c>
      <c r="P377" s="1">
        <f t="shared" si="1236"/>
        <v>0</v>
      </c>
      <c r="Q377" s="1">
        <f t="shared" si="1236"/>
        <v>0</v>
      </c>
      <c r="R377" s="1">
        <f t="shared" si="1236"/>
        <v>0</v>
      </c>
      <c r="S377" s="1">
        <f t="shared" si="1236"/>
        <v>0</v>
      </c>
      <c r="T377" s="1">
        <f t="shared" si="1236"/>
        <v>0</v>
      </c>
      <c r="U377" s="1">
        <f t="shared" si="1236"/>
        <v>0</v>
      </c>
      <c r="V377" s="1">
        <f t="shared" si="1236"/>
        <v>0</v>
      </c>
      <c r="W377" s="1">
        <f t="shared" si="1236"/>
        <v>0</v>
      </c>
      <c r="X377" s="1">
        <f t="shared" si="1236"/>
        <v>0</v>
      </c>
      <c r="Y377" s="1">
        <f t="shared" si="1236"/>
        <v>0</v>
      </c>
      <c r="Z377" s="1">
        <f t="shared" si="1236"/>
        <v>0</v>
      </c>
      <c r="AA377" s="1">
        <f t="shared" si="1236"/>
        <v>0</v>
      </c>
      <c r="AB377" s="1">
        <f t="shared" si="1236"/>
        <v>0</v>
      </c>
      <c r="AC377" s="1">
        <f t="shared" si="1236"/>
        <v>0</v>
      </c>
      <c r="AD377" s="1">
        <f t="shared" si="1236"/>
        <v>0</v>
      </c>
      <c r="AE377" s="1">
        <f t="shared" si="1236"/>
        <v>0</v>
      </c>
    </row>
    <row r="378" spans="1:31" outlineLevel="1" x14ac:dyDescent="0.2">
      <c r="A378" s="13"/>
    </row>
    <row r="379" spans="1:31" ht="15" outlineLevel="2" x14ac:dyDescent="0.25">
      <c r="A379" s="292" t="str">
        <f>assumptions!A44</f>
        <v>[Additional Field - Specify] (Non-Amortizing)</v>
      </c>
      <c r="B379" s="1"/>
    </row>
    <row r="380" spans="1:31" outlineLevel="2" x14ac:dyDescent="0.2">
      <c r="A380" s="2"/>
      <c r="B380" s="1"/>
    </row>
    <row r="381" spans="1:31" outlineLevel="2" x14ac:dyDescent="0.2">
      <c r="A381" s="297" t="s">
        <v>413</v>
      </c>
      <c r="B381" s="1">
        <f>assumptions!B44</f>
        <v>0</v>
      </c>
    </row>
    <row r="382" spans="1:31" outlineLevel="2" x14ac:dyDescent="0.2">
      <c r="A382" s="297" t="s">
        <v>414</v>
      </c>
      <c r="B382" s="482">
        <f>assumptions!D44</f>
        <v>0</v>
      </c>
    </row>
    <row r="383" spans="1:31" outlineLevel="2" x14ac:dyDescent="0.2">
      <c r="A383" s="297" t="s">
        <v>416</v>
      </c>
      <c r="B383" s="1">
        <f>IF(assumptions!F44="deferred",0,assumptions!F44)</f>
        <v>0</v>
      </c>
    </row>
    <row r="384" spans="1:31" outlineLevel="2" x14ac:dyDescent="0.2">
      <c r="A384" s="297" t="s">
        <v>417</v>
      </c>
      <c r="B384" s="1">
        <f>B381*(B382/12)</f>
        <v>0</v>
      </c>
    </row>
    <row r="385" spans="1:31" outlineLevel="2" x14ac:dyDescent="0.2">
      <c r="A385" s="297" t="s">
        <v>418</v>
      </c>
      <c r="B385" s="72">
        <f>B384*12</f>
        <v>0</v>
      </c>
    </row>
    <row r="386" spans="1:31" outlineLevel="2" x14ac:dyDescent="0.2">
      <c r="A386" s="13"/>
    </row>
    <row r="387" spans="1:31" outlineLevel="2" x14ac:dyDescent="0.2">
      <c r="A387" s="295" t="s">
        <v>419</v>
      </c>
      <c r="B387" s="294">
        <v>1</v>
      </c>
      <c r="C387" s="294">
        <f t="shared" ref="C387" si="1237">B387+1</f>
        <v>2</v>
      </c>
      <c r="D387" s="294">
        <f t="shared" ref="D387" si="1238">C387+1</f>
        <v>3</v>
      </c>
      <c r="E387" s="294">
        <f t="shared" ref="E387" si="1239">D387+1</f>
        <v>4</v>
      </c>
      <c r="F387" s="294">
        <f t="shared" ref="F387" si="1240">E387+1</f>
        <v>5</v>
      </c>
      <c r="G387" s="294">
        <f t="shared" ref="G387" si="1241">F387+1</f>
        <v>6</v>
      </c>
      <c r="H387" s="294">
        <f t="shared" ref="H387" si="1242">G387+1</f>
        <v>7</v>
      </c>
      <c r="I387" s="294">
        <f t="shared" ref="I387" si="1243">H387+1</f>
        <v>8</v>
      </c>
      <c r="J387" s="294">
        <f t="shared" ref="J387" si="1244">I387+1</f>
        <v>9</v>
      </c>
      <c r="K387" s="294">
        <f t="shared" ref="K387" si="1245">J387+1</f>
        <v>10</v>
      </c>
      <c r="L387" s="294">
        <f t="shared" ref="L387" si="1246">K387+1</f>
        <v>11</v>
      </c>
      <c r="M387" s="294">
        <f t="shared" ref="M387" si="1247">L387+1</f>
        <v>12</v>
      </c>
      <c r="N387" s="294">
        <f t="shared" ref="N387" si="1248">M387+1</f>
        <v>13</v>
      </c>
      <c r="O387" s="294">
        <f t="shared" ref="O387" si="1249">N387+1</f>
        <v>14</v>
      </c>
      <c r="P387" s="294">
        <f t="shared" ref="P387" si="1250">O387+1</f>
        <v>15</v>
      </c>
      <c r="Q387" s="294">
        <f t="shared" ref="Q387" si="1251">P387+1</f>
        <v>16</v>
      </c>
      <c r="R387" s="294">
        <f t="shared" ref="R387" si="1252">Q387+1</f>
        <v>17</v>
      </c>
      <c r="S387" s="294">
        <f t="shared" ref="S387" si="1253">R387+1</f>
        <v>18</v>
      </c>
      <c r="T387" s="294">
        <f t="shared" ref="T387" si="1254">S387+1</f>
        <v>19</v>
      </c>
      <c r="U387" s="294">
        <f t="shared" ref="U387" si="1255">T387+1</f>
        <v>20</v>
      </c>
      <c r="V387" s="294">
        <f t="shared" ref="V387" si="1256">U387+1</f>
        <v>21</v>
      </c>
      <c r="W387" s="294">
        <f t="shared" ref="W387" si="1257">V387+1</f>
        <v>22</v>
      </c>
      <c r="X387" s="294">
        <f t="shared" ref="X387" si="1258">W387+1</f>
        <v>23</v>
      </c>
      <c r="Y387" s="294">
        <f t="shared" ref="Y387" si="1259">X387+1</f>
        <v>24</v>
      </c>
      <c r="Z387" s="294">
        <f t="shared" ref="Z387" si="1260">Y387+1</f>
        <v>25</v>
      </c>
      <c r="AA387" s="294">
        <f t="shared" ref="AA387" si="1261">Z387+1</f>
        <v>26</v>
      </c>
      <c r="AB387" s="294">
        <f t="shared" ref="AB387" si="1262">AA387+1</f>
        <v>27</v>
      </c>
      <c r="AC387" s="294">
        <f t="shared" ref="AC387" si="1263">AB387+1</f>
        <v>28</v>
      </c>
      <c r="AD387" s="294">
        <f t="shared" ref="AD387" si="1264">AC387+1</f>
        <v>29</v>
      </c>
      <c r="AE387" s="294">
        <f t="shared" ref="AE387" si="1265">AD387+1</f>
        <v>30</v>
      </c>
    </row>
    <row r="388" spans="1:31" outlineLevel="2" x14ac:dyDescent="0.2">
      <c r="A388" s="2" t="s">
        <v>420</v>
      </c>
      <c r="B388" s="1">
        <f>B381</f>
        <v>0</v>
      </c>
      <c r="C388" s="1">
        <f>B389</f>
        <v>0</v>
      </c>
      <c r="D388" s="1">
        <f t="shared" ref="D388" si="1266">C389</f>
        <v>0</v>
      </c>
      <c r="E388" s="1">
        <f t="shared" ref="E388" si="1267">D389</f>
        <v>0</v>
      </c>
      <c r="F388" s="1">
        <f t="shared" ref="F388" si="1268">E389</f>
        <v>0</v>
      </c>
      <c r="G388" s="1">
        <f t="shared" ref="G388" si="1269">F389</f>
        <v>0</v>
      </c>
      <c r="H388" s="1">
        <f t="shared" ref="H388" si="1270">G389</f>
        <v>0</v>
      </c>
      <c r="I388" s="1">
        <f t="shared" ref="I388" si="1271">H389</f>
        <v>0</v>
      </c>
      <c r="J388" s="1">
        <f t="shared" ref="J388" si="1272">I389</f>
        <v>0</v>
      </c>
      <c r="K388" s="1">
        <f t="shared" ref="K388" si="1273">J389</f>
        <v>0</v>
      </c>
      <c r="L388" s="1">
        <f t="shared" ref="L388" si="1274">K389</f>
        <v>0</v>
      </c>
      <c r="M388" s="1">
        <f t="shared" ref="M388" si="1275">L389</f>
        <v>0</v>
      </c>
      <c r="N388" s="1">
        <f t="shared" ref="N388" si="1276">M389</f>
        <v>0</v>
      </c>
      <c r="O388" s="1">
        <f t="shared" ref="O388" si="1277">N389</f>
        <v>0</v>
      </c>
      <c r="P388" s="1">
        <f t="shared" ref="P388" si="1278">O389</f>
        <v>0</v>
      </c>
      <c r="Q388" s="1">
        <f t="shared" ref="Q388" si="1279">P389</f>
        <v>0</v>
      </c>
      <c r="R388" s="1">
        <f t="shared" ref="R388" si="1280">Q389</f>
        <v>0</v>
      </c>
      <c r="S388" s="1">
        <f t="shared" ref="S388" si="1281">R389</f>
        <v>0</v>
      </c>
      <c r="T388" s="1">
        <f t="shared" ref="T388" si="1282">S389</f>
        <v>0</v>
      </c>
      <c r="U388" s="1">
        <f t="shared" ref="U388" si="1283">T389</f>
        <v>0</v>
      </c>
      <c r="V388" s="1">
        <f t="shared" ref="V388" si="1284">U389</f>
        <v>0</v>
      </c>
      <c r="W388" s="1">
        <f t="shared" ref="W388" si="1285">V389</f>
        <v>0</v>
      </c>
      <c r="X388" s="1">
        <f t="shared" ref="X388" si="1286">W389</f>
        <v>0</v>
      </c>
      <c r="Y388" s="1">
        <f t="shared" ref="Y388" si="1287">X389</f>
        <v>0</v>
      </c>
      <c r="Z388" s="1">
        <f t="shared" ref="Z388" si="1288">Y389</f>
        <v>0</v>
      </c>
      <c r="AA388" s="1">
        <f t="shared" ref="AA388" si="1289">Z389</f>
        <v>0</v>
      </c>
      <c r="AB388" s="1">
        <f t="shared" ref="AB388" si="1290">AA389</f>
        <v>0</v>
      </c>
      <c r="AC388" s="1">
        <f t="shared" ref="AC388" si="1291">AB389</f>
        <v>0</v>
      </c>
      <c r="AD388" s="1">
        <f t="shared" ref="AD388" si="1292">AC389</f>
        <v>0</v>
      </c>
      <c r="AE388" s="1">
        <f t="shared" ref="AE388" si="1293">AD389</f>
        <v>0</v>
      </c>
    </row>
    <row r="389" spans="1:31" outlineLevel="2" x14ac:dyDescent="0.2">
      <c r="A389" s="2" t="s">
        <v>421</v>
      </c>
      <c r="B389" s="1">
        <f>B388-B390</f>
        <v>0</v>
      </c>
      <c r="C389" s="1">
        <f>C388-C390</f>
        <v>0</v>
      </c>
      <c r="D389" s="1">
        <f t="shared" ref="D389" si="1294">D388-D390</f>
        <v>0</v>
      </c>
      <c r="E389" s="1">
        <f>E388-E390</f>
        <v>0</v>
      </c>
      <c r="F389" s="1">
        <f t="shared" ref="F389" si="1295">F388-F390</f>
        <v>0</v>
      </c>
      <c r="G389" s="1">
        <f t="shared" ref="G389" si="1296">G388-G390</f>
        <v>0</v>
      </c>
      <c r="H389" s="1">
        <f t="shared" ref="H389" si="1297">H388-H390</f>
        <v>0</v>
      </c>
      <c r="I389" s="1">
        <f t="shared" ref="I389" si="1298">I388-I390</f>
        <v>0</v>
      </c>
      <c r="J389" s="1">
        <f t="shared" ref="J389" si="1299">J388-J390</f>
        <v>0</v>
      </c>
      <c r="K389" s="1">
        <f t="shared" ref="K389" si="1300">K388-K390</f>
        <v>0</v>
      </c>
      <c r="L389" s="1">
        <f t="shared" ref="L389" si="1301">L388-L390</f>
        <v>0</v>
      </c>
      <c r="M389" s="1">
        <f t="shared" ref="M389" si="1302">M388-M390</f>
        <v>0</v>
      </c>
      <c r="N389" s="1">
        <f t="shared" ref="N389" si="1303">N388-N390</f>
        <v>0</v>
      </c>
      <c r="O389" s="1">
        <f t="shared" ref="O389" si="1304">O388-O390</f>
        <v>0</v>
      </c>
      <c r="P389" s="1">
        <f t="shared" ref="P389" si="1305">P388-P390</f>
        <v>0</v>
      </c>
      <c r="Q389" s="1">
        <f t="shared" ref="Q389" si="1306">Q388-Q390</f>
        <v>0</v>
      </c>
      <c r="R389" s="1">
        <f t="shared" ref="R389" si="1307">R388-R390</f>
        <v>0</v>
      </c>
      <c r="S389" s="1">
        <f t="shared" ref="S389" si="1308">S388-S390</f>
        <v>0</v>
      </c>
      <c r="T389" s="1">
        <f t="shared" ref="T389" si="1309">T388-T390</f>
        <v>0</v>
      </c>
      <c r="U389" s="1">
        <f t="shared" ref="U389" si="1310">U388-U390</f>
        <v>0</v>
      </c>
      <c r="V389" s="1">
        <f t="shared" ref="V389" si="1311">V388-V390</f>
        <v>0</v>
      </c>
      <c r="W389" s="1">
        <f t="shared" ref="W389" si="1312">W388-W390</f>
        <v>0</v>
      </c>
      <c r="X389" s="1">
        <f t="shared" ref="X389" si="1313">X388-X390</f>
        <v>0</v>
      </c>
      <c r="Y389" s="1">
        <f t="shared" ref="Y389" si="1314">Y388-Y390</f>
        <v>0</v>
      </c>
      <c r="Z389" s="1">
        <f t="shared" ref="Z389" si="1315">Z388-Z390</f>
        <v>0</v>
      </c>
      <c r="AA389" s="1">
        <f t="shared" ref="AA389" si="1316">AA388-AA390</f>
        <v>0</v>
      </c>
      <c r="AB389" s="1">
        <f t="shared" ref="AB389" si="1317">AB388-AB390</f>
        <v>0</v>
      </c>
      <c r="AC389" s="1">
        <f t="shared" ref="AC389" si="1318">AC388-AC390</f>
        <v>0</v>
      </c>
      <c r="AD389" s="1">
        <f t="shared" ref="AD389" si="1319">AD388-AD390</f>
        <v>0</v>
      </c>
      <c r="AE389" s="1">
        <f t="shared" ref="AE389" si="1320">AE388-AE390</f>
        <v>0</v>
      </c>
    </row>
    <row r="390" spans="1:31" outlineLevel="2" x14ac:dyDescent="0.2">
      <c r="A390" s="2" t="s">
        <v>413</v>
      </c>
      <c r="B390" s="1">
        <f>IF($B383=B387,B388,0)</f>
        <v>0</v>
      </c>
      <c r="C390" s="1">
        <f>IF($B383=C387,C388,0)</f>
        <v>0</v>
      </c>
      <c r="D390" s="1">
        <f>IF($B383=D387,D388,0)</f>
        <v>0</v>
      </c>
      <c r="E390" s="1">
        <f>IF($B383=E387,E388,0)</f>
        <v>0</v>
      </c>
      <c r="F390" s="1">
        <f t="shared" ref="F390:AE390" si="1321">IF($B383=F387,F388,0)</f>
        <v>0</v>
      </c>
      <c r="G390" s="1">
        <f t="shared" si="1321"/>
        <v>0</v>
      </c>
      <c r="H390" s="1">
        <f t="shared" si="1321"/>
        <v>0</v>
      </c>
      <c r="I390" s="1">
        <f t="shared" si="1321"/>
        <v>0</v>
      </c>
      <c r="J390" s="1">
        <f t="shared" si="1321"/>
        <v>0</v>
      </c>
      <c r="K390" s="1">
        <f t="shared" si="1321"/>
        <v>0</v>
      </c>
      <c r="L390" s="1">
        <f t="shared" si="1321"/>
        <v>0</v>
      </c>
      <c r="M390" s="1">
        <f t="shared" si="1321"/>
        <v>0</v>
      </c>
      <c r="N390" s="1">
        <f t="shared" si="1321"/>
        <v>0</v>
      </c>
      <c r="O390" s="1">
        <f t="shared" si="1321"/>
        <v>0</v>
      </c>
      <c r="P390" s="1">
        <f t="shared" si="1321"/>
        <v>0</v>
      </c>
      <c r="Q390" s="1">
        <f t="shared" si="1321"/>
        <v>0</v>
      </c>
      <c r="R390" s="1">
        <f t="shared" si="1321"/>
        <v>0</v>
      </c>
      <c r="S390" s="1">
        <f t="shared" si="1321"/>
        <v>0</v>
      </c>
      <c r="T390" s="1">
        <f t="shared" si="1321"/>
        <v>0</v>
      </c>
      <c r="U390" s="1">
        <f t="shared" si="1321"/>
        <v>0</v>
      </c>
      <c r="V390" s="1">
        <f t="shared" si="1321"/>
        <v>0</v>
      </c>
      <c r="W390" s="1">
        <f t="shared" si="1321"/>
        <v>0</v>
      </c>
      <c r="X390" s="1">
        <f t="shared" si="1321"/>
        <v>0</v>
      </c>
      <c r="Y390" s="1">
        <f t="shared" si="1321"/>
        <v>0</v>
      </c>
      <c r="Z390" s="1">
        <f t="shared" si="1321"/>
        <v>0</v>
      </c>
      <c r="AA390" s="1">
        <f t="shared" si="1321"/>
        <v>0</v>
      </c>
      <c r="AB390" s="1">
        <f t="shared" si="1321"/>
        <v>0</v>
      </c>
      <c r="AC390" s="1">
        <f t="shared" si="1321"/>
        <v>0</v>
      </c>
      <c r="AD390" s="1">
        <f t="shared" si="1321"/>
        <v>0</v>
      </c>
      <c r="AE390" s="1">
        <f t="shared" si="1321"/>
        <v>0</v>
      </c>
    </row>
    <row r="391" spans="1:31" outlineLevel="2" x14ac:dyDescent="0.2">
      <c r="A391" s="2" t="s">
        <v>414</v>
      </c>
      <c r="B391" s="1">
        <f>IF($B383&gt;=B387,B388*$B382,0)</f>
        <v>0</v>
      </c>
      <c r="C391" s="1">
        <f>IF($B383&gt;=C387,C388*$B382,0)</f>
        <v>0</v>
      </c>
      <c r="D391" s="1">
        <f t="shared" ref="D391" si="1322">IF($B383&gt;=D387,D388*$B382,0)</f>
        <v>0</v>
      </c>
      <c r="E391" s="1">
        <f>IF($B383&gt;=E387,E388*$B382,0)</f>
        <v>0</v>
      </c>
      <c r="F391" s="1">
        <f t="shared" ref="F391:AE391" si="1323">IF($B383&gt;=F387,F388*$B382,0)</f>
        <v>0</v>
      </c>
      <c r="G391" s="1">
        <f t="shared" si="1323"/>
        <v>0</v>
      </c>
      <c r="H391" s="1">
        <f t="shared" si="1323"/>
        <v>0</v>
      </c>
      <c r="I391" s="1">
        <f t="shared" si="1323"/>
        <v>0</v>
      </c>
      <c r="J391" s="1">
        <f t="shared" si="1323"/>
        <v>0</v>
      </c>
      <c r="K391" s="1">
        <f t="shared" si="1323"/>
        <v>0</v>
      </c>
      <c r="L391" s="1">
        <f t="shared" si="1323"/>
        <v>0</v>
      </c>
      <c r="M391" s="1">
        <f t="shared" si="1323"/>
        <v>0</v>
      </c>
      <c r="N391" s="1">
        <f t="shared" si="1323"/>
        <v>0</v>
      </c>
      <c r="O391" s="1">
        <f t="shared" si="1323"/>
        <v>0</v>
      </c>
      <c r="P391" s="1">
        <f t="shared" si="1323"/>
        <v>0</v>
      </c>
      <c r="Q391" s="1">
        <f t="shared" si="1323"/>
        <v>0</v>
      </c>
      <c r="R391" s="1">
        <f t="shared" si="1323"/>
        <v>0</v>
      </c>
      <c r="S391" s="1">
        <f t="shared" si="1323"/>
        <v>0</v>
      </c>
      <c r="T391" s="1">
        <f t="shared" si="1323"/>
        <v>0</v>
      </c>
      <c r="U391" s="1">
        <f t="shared" si="1323"/>
        <v>0</v>
      </c>
      <c r="V391" s="1">
        <f t="shared" si="1323"/>
        <v>0</v>
      </c>
      <c r="W391" s="1">
        <f t="shared" si="1323"/>
        <v>0</v>
      </c>
      <c r="X391" s="1">
        <f t="shared" si="1323"/>
        <v>0</v>
      </c>
      <c r="Y391" s="1">
        <f t="shared" si="1323"/>
        <v>0</v>
      </c>
      <c r="Z391" s="1">
        <f t="shared" si="1323"/>
        <v>0</v>
      </c>
      <c r="AA391" s="1">
        <f t="shared" si="1323"/>
        <v>0</v>
      </c>
      <c r="AB391" s="1">
        <f t="shared" si="1323"/>
        <v>0</v>
      </c>
      <c r="AC391" s="1">
        <f t="shared" si="1323"/>
        <v>0</v>
      </c>
      <c r="AD391" s="1">
        <f t="shared" si="1323"/>
        <v>0</v>
      </c>
      <c r="AE391" s="1">
        <f t="shared" si="1323"/>
        <v>0</v>
      </c>
    </row>
    <row r="392" spans="1:31" outlineLevel="2" x14ac:dyDescent="0.2">
      <c r="A392" s="2" t="s">
        <v>422</v>
      </c>
      <c r="B392" s="1">
        <f>B390+B391</f>
        <v>0</v>
      </c>
      <c r="C392" s="1">
        <f t="shared" ref="C392:D392" si="1324">C390+C391</f>
        <v>0</v>
      </c>
      <c r="D392" s="1">
        <f t="shared" si="1324"/>
        <v>0</v>
      </c>
      <c r="E392" s="1">
        <f>E390+E391</f>
        <v>0</v>
      </c>
      <c r="F392" s="1">
        <f t="shared" ref="F392:AE392" si="1325">F390+F391</f>
        <v>0</v>
      </c>
      <c r="G392" s="1">
        <f t="shared" si="1325"/>
        <v>0</v>
      </c>
      <c r="H392" s="1">
        <f t="shared" si="1325"/>
        <v>0</v>
      </c>
      <c r="I392" s="1">
        <f t="shared" si="1325"/>
        <v>0</v>
      </c>
      <c r="J392" s="1">
        <f t="shared" si="1325"/>
        <v>0</v>
      </c>
      <c r="K392" s="1">
        <f t="shared" si="1325"/>
        <v>0</v>
      </c>
      <c r="L392" s="1">
        <f t="shared" si="1325"/>
        <v>0</v>
      </c>
      <c r="M392" s="1">
        <f t="shared" si="1325"/>
        <v>0</v>
      </c>
      <c r="N392" s="1">
        <f t="shared" si="1325"/>
        <v>0</v>
      </c>
      <c r="O392" s="1">
        <f t="shared" si="1325"/>
        <v>0</v>
      </c>
      <c r="P392" s="1">
        <f t="shared" si="1325"/>
        <v>0</v>
      </c>
      <c r="Q392" s="1">
        <f t="shared" si="1325"/>
        <v>0</v>
      </c>
      <c r="R392" s="1">
        <f t="shared" si="1325"/>
        <v>0</v>
      </c>
      <c r="S392" s="1">
        <f t="shared" si="1325"/>
        <v>0</v>
      </c>
      <c r="T392" s="1">
        <f t="shared" si="1325"/>
        <v>0</v>
      </c>
      <c r="U392" s="1">
        <f t="shared" si="1325"/>
        <v>0</v>
      </c>
      <c r="V392" s="1">
        <f t="shared" si="1325"/>
        <v>0</v>
      </c>
      <c r="W392" s="1">
        <f t="shared" si="1325"/>
        <v>0</v>
      </c>
      <c r="X392" s="1">
        <f t="shared" si="1325"/>
        <v>0</v>
      </c>
      <c r="Y392" s="1">
        <f t="shared" si="1325"/>
        <v>0</v>
      </c>
      <c r="Z392" s="1">
        <f t="shared" si="1325"/>
        <v>0</v>
      </c>
      <c r="AA392" s="1">
        <f t="shared" si="1325"/>
        <v>0</v>
      </c>
      <c r="AB392" s="1">
        <f t="shared" si="1325"/>
        <v>0</v>
      </c>
      <c r="AC392" s="1">
        <f t="shared" si="1325"/>
        <v>0</v>
      </c>
      <c r="AD392" s="1">
        <f t="shared" si="1325"/>
        <v>0</v>
      </c>
      <c r="AE392" s="1">
        <f t="shared" si="1325"/>
        <v>0</v>
      </c>
    </row>
    <row r="393" spans="1:31" outlineLevel="1" x14ac:dyDescent="0.2">
      <c r="A393" s="13"/>
    </row>
    <row r="394" spans="1:3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spans="1:31" ht="15" x14ac:dyDescent="0.25">
      <c r="A395" s="335" t="s">
        <v>423</v>
      </c>
      <c r="B395" s="1">
        <f t="shared" ref="B395:AE395" si="1326">B16+B50+B67+B84+B101+B33+B118+B135+B152+B170+B188+B205+B223+B240+B256+B271+B286+B301+B316+B331+B346+B361+B376+B391</f>
        <v>0</v>
      </c>
      <c r="C395" s="1">
        <f t="shared" si="1326"/>
        <v>0</v>
      </c>
      <c r="D395" s="1">
        <f t="shared" si="1326"/>
        <v>0</v>
      </c>
      <c r="E395" s="1">
        <f t="shared" si="1326"/>
        <v>0</v>
      </c>
      <c r="F395" s="1">
        <f t="shared" si="1326"/>
        <v>0</v>
      </c>
      <c r="G395" s="1">
        <f t="shared" si="1326"/>
        <v>0</v>
      </c>
      <c r="H395" s="1">
        <f t="shared" si="1326"/>
        <v>0</v>
      </c>
      <c r="I395" s="1">
        <f t="shared" si="1326"/>
        <v>0</v>
      </c>
      <c r="J395" s="1">
        <f t="shared" si="1326"/>
        <v>0</v>
      </c>
      <c r="K395" s="1">
        <f t="shared" si="1326"/>
        <v>0</v>
      </c>
      <c r="L395" s="1">
        <f t="shared" si="1326"/>
        <v>0</v>
      </c>
      <c r="M395" s="1">
        <f t="shared" si="1326"/>
        <v>0</v>
      </c>
      <c r="N395" s="1">
        <f t="shared" si="1326"/>
        <v>0</v>
      </c>
      <c r="O395" s="1">
        <f t="shared" si="1326"/>
        <v>0</v>
      </c>
      <c r="P395" s="1">
        <f t="shared" si="1326"/>
        <v>0</v>
      </c>
      <c r="Q395" s="1">
        <f t="shared" si="1326"/>
        <v>0</v>
      </c>
      <c r="R395" s="1">
        <f t="shared" si="1326"/>
        <v>0</v>
      </c>
      <c r="S395" s="1">
        <f t="shared" si="1326"/>
        <v>0</v>
      </c>
      <c r="T395" s="1">
        <f t="shared" si="1326"/>
        <v>0</v>
      </c>
      <c r="U395" s="1">
        <f t="shared" si="1326"/>
        <v>0</v>
      </c>
      <c r="V395" s="1">
        <f t="shared" si="1326"/>
        <v>0</v>
      </c>
      <c r="W395" s="1">
        <f t="shared" si="1326"/>
        <v>0</v>
      </c>
      <c r="X395" s="1">
        <f t="shared" si="1326"/>
        <v>0</v>
      </c>
      <c r="Y395" s="1">
        <f t="shared" si="1326"/>
        <v>0</v>
      </c>
      <c r="Z395" s="1">
        <f t="shared" si="1326"/>
        <v>0</v>
      </c>
      <c r="AA395" s="1">
        <f t="shared" si="1326"/>
        <v>0</v>
      </c>
      <c r="AB395" s="1">
        <f t="shared" si="1326"/>
        <v>0</v>
      </c>
      <c r="AC395" s="1">
        <f t="shared" si="1326"/>
        <v>0</v>
      </c>
      <c r="AD395" s="1">
        <f t="shared" si="1326"/>
        <v>0</v>
      </c>
      <c r="AE395" s="1">
        <f t="shared" si="1326"/>
        <v>0</v>
      </c>
    </row>
    <row r="397" spans="1:31" ht="15" x14ac:dyDescent="0.25">
      <c r="A397" s="90" t="s">
        <v>424</v>
      </c>
      <c r="B397" s="91"/>
      <c r="C397" s="91"/>
      <c r="D397" s="91"/>
      <c r="E397" s="91"/>
      <c r="F397" s="91"/>
      <c r="G397" s="91"/>
      <c r="H397" s="91"/>
      <c r="I397" s="91"/>
      <c r="J397" s="91"/>
      <c r="K397" s="91"/>
      <c r="L397" s="91"/>
      <c r="M397" s="91"/>
      <c r="N397" s="91"/>
      <c r="O397" s="91"/>
      <c r="P397" s="92"/>
    </row>
    <row r="398" spans="1:31" x14ac:dyDescent="0.2">
      <c r="A398" s="354">
        <v>0.02</v>
      </c>
      <c r="P398" s="86"/>
    </row>
    <row r="399" spans="1:31" x14ac:dyDescent="0.2">
      <c r="A399" s="475" t="s">
        <v>425</v>
      </c>
      <c r="B399" s="1">
        <f>cashflows!C14/IF(assumptions!$B$17=0,assumptions!$B$16,assumptions!$B$17)</f>
        <v>0</v>
      </c>
      <c r="C399" s="1">
        <f>B399+(B399*$A$398)</f>
        <v>0</v>
      </c>
      <c r="D399" s="1">
        <f>C399+(C399*$A$398)</f>
        <v>0</v>
      </c>
      <c r="E399" s="1">
        <f t="shared" ref="E399:P399" si="1327">D399+(D399*$A$398)</f>
        <v>0</v>
      </c>
      <c r="F399" s="1">
        <f t="shared" si="1327"/>
        <v>0</v>
      </c>
      <c r="G399" s="1">
        <f t="shared" si="1327"/>
        <v>0</v>
      </c>
      <c r="H399" s="1">
        <f t="shared" si="1327"/>
        <v>0</v>
      </c>
      <c r="I399" s="1">
        <f t="shared" si="1327"/>
        <v>0</v>
      </c>
      <c r="J399" s="1">
        <f t="shared" si="1327"/>
        <v>0</v>
      </c>
      <c r="K399" s="1">
        <f t="shared" si="1327"/>
        <v>0</v>
      </c>
      <c r="L399" s="1">
        <f t="shared" si="1327"/>
        <v>0</v>
      </c>
      <c r="M399" s="1">
        <f t="shared" si="1327"/>
        <v>0</v>
      </c>
      <c r="N399" s="1">
        <f t="shared" si="1327"/>
        <v>0</v>
      </c>
      <c r="O399" s="1">
        <f t="shared" si="1327"/>
        <v>0</v>
      </c>
      <c r="P399" s="224">
        <f t="shared" si="1327"/>
        <v>0</v>
      </c>
    </row>
    <row r="400" spans="1:31" x14ac:dyDescent="0.2">
      <c r="A400" s="93" t="s">
        <v>426</v>
      </c>
      <c r="B400" s="1">
        <f t="shared" ref="B400:P400" si="1328">B14+B48+B65+B82+B99+B31+B116+B133+B150+B168+B186+B203+B221+B238+B254+B269+B284+B299+B314+B329+B344+B359+B374+B389</f>
        <v>0</v>
      </c>
      <c r="C400" s="1">
        <f t="shared" si="1328"/>
        <v>0</v>
      </c>
      <c r="D400" s="1">
        <f t="shared" si="1328"/>
        <v>0</v>
      </c>
      <c r="E400" s="1">
        <f t="shared" si="1328"/>
        <v>0</v>
      </c>
      <c r="F400" s="1">
        <f t="shared" si="1328"/>
        <v>0</v>
      </c>
      <c r="G400" s="1">
        <f t="shared" si="1328"/>
        <v>0</v>
      </c>
      <c r="H400" s="1">
        <f t="shared" si="1328"/>
        <v>0</v>
      </c>
      <c r="I400" s="1">
        <f t="shared" si="1328"/>
        <v>0</v>
      </c>
      <c r="J400" s="1">
        <f t="shared" si="1328"/>
        <v>0</v>
      </c>
      <c r="K400" s="1">
        <f t="shared" si="1328"/>
        <v>0</v>
      </c>
      <c r="L400" s="1">
        <f t="shared" si="1328"/>
        <v>0</v>
      </c>
      <c r="M400" s="1">
        <f t="shared" si="1328"/>
        <v>0</v>
      </c>
      <c r="N400" s="1">
        <f t="shared" si="1328"/>
        <v>0</v>
      </c>
      <c r="O400" s="1">
        <f t="shared" si="1328"/>
        <v>0</v>
      </c>
      <c r="P400" s="224">
        <f t="shared" si="1328"/>
        <v>0</v>
      </c>
    </row>
    <row r="401" spans="1:16" x14ac:dyDescent="0.2">
      <c r="A401" s="94" t="s">
        <v>424</v>
      </c>
      <c r="B401" s="307" t="e">
        <f>B400/B399</f>
        <v>#DIV/0!</v>
      </c>
      <c r="C401" s="307" t="e">
        <f>C400/C399</f>
        <v>#DIV/0!</v>
      </c>
      <c r="D401" s="307" t="e">
        <f t="shared" ref="D401:P401" si="1329">D400/D399</f>
        <v>#DIV/0!</v>
      </c>
      <c r="E401" s="307" t="e">
        <f t="shared" si="1329"/>
        <v>#DIV/0!</v>
      </c>
      <c r="F401" s="307" t="e">
        <f t="shared" si="1329"/>
        <v>#DIV/0!</v>
      </c>
      <c r="G401" s="307" t="e">
        <f t="shared" si="1329"/>
        <v>#DIV/0!</v>
      </c>
      <c r="H401" s="307" t="e">
        <f t="shared" si="1329"/>
        <v>#DIV/0!</v>
      </c>
      <c r="I401" s="307" t="e">
        <f t="shared" si="1329"/>
        <v>#DIV/0!</v>
      </c>
      <c r="J401" s="307" t="e">
        <f t="shared" si="1329"/>
        <v>#DIV/0!</v>
      </c>
      <c r="K401" s="307" t="e">
        <f t="shared" si="1329"/>
        <v>#DIV/0!</v>
      </c>
      <c r="L401" s="307" t="e">
        <f t="shared" si="1329"/>
        <v>#DIV/0!</v>
      </c>
      <c r="M401" s="307" t="e">
        <f t="shared" si="1329"/>
        <v>#DIV/0!</v>
      </c>
      <c r="N401" s="307" t="e">
        <f t="shared" si="1329"/>
        <v>#DIV/0!</v>
      </c>
      <c r="O401" s="307" t="e">
        <f t="shared" si="1329"/>
        <v>#DIV/0!</v>
      </c>
      <c r="P401" s="308" t="e">
        <f t="shared" si="1329"/>
        <v>#DIV/0!</v>
      </c>
    </row>
  </sheetData>
  <sheetProtection algorithmName="SHA-512" hashValue="7R5FbHiVzAtumE4941qdXtM/Ol9arWE+ufBzSA8fyskbFAa5venm0bzpSkJWT1ceG+VfnZbCdvp80x9y47E1dQ==" saltValue="GGEi9UD0YoG4dEWGg558lQ==" spinCount="100000" sheet="1" formatCells="0" formatColumns="0" formatRows="0"/>
  <phoneticPr fontId="0" type="noConversion"/>
  <pageMargins left="0.75" right="0.75" top="1" bottom="1" header="0.5" footer="0.5"/>
  <pageSetup scale="29" orientation="landscape" r:id="rId1"/>
  <headerFooter alignWithMargins="0">
    <oddFooter>&amp;L&amp;F
&amp;D&amp;T&amp;R&amp;"Times New Roman,Regular"&amp;8revision date:  8/6/2007</oddFooter>
  </headerFooter>
  <ignoredErrors>
    <ignoredError sqref="A192 B216 B250 B264:B265 B15:AO15" unlockedFormula="1"/>
    <ignoredError sqref="D401:P401" evalError="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H143"/>
  <sheetViews>
    <sheetView zoomScale="80" zoomScaleNormal="80" workbookViewId="0">
      <pane ySplit="5" topLeftCell="A116" activePane="bottomLeft" state="frozen"/>
      <selection pane="bottomLeft" activeCell="E133" sqref="E133"/>
    </sheetView>
  </sheetViews>
  <sheetFormatPr defaultColWidth="8.6640625" defaultRowHeight="14.25" outlineLevelRow="1" outlineLevelCol="1" x14ac:dyDescent="0.2"/>
  <cols>
    <col min="1" max="1" width="13.33203125" style="12" bestFit="1" customWidth="1"/>
    <col min="2" max="2" width="31.77734375" style="12" customWidth="1"/>
    <col min="3" max="3" width="6.5546875" style="12" customWidth="1"/>
    <col min="4" max="4" width="14" style="12" customWidth="1"/>
    <col min="5" max="5" width="12.5546875" style="12" customWidth="1"/>
    <col min="6" max="19" width="10.77734375" style="12" customWidth="1"/>
    <col min="20" max="33" width="10.77734375" style="12" customWidth="1" outlineLevel="1"/>
    <col min="34" max="34" width="12.77734375" style="12" customWidth="1"/>
    <col min="35" max="16384" width="8.6640625" style="12"/>
  </cols>
  <sheetData>
    <row r="1" spans="1:34" ht="15.75" thickBot="1" x14ac:dyDescent="0.3">
      <c r="A1" s="199" t="str">
        <f>assumptions!B2</f>
        <v>enter date</v>
      </c>
      <c r="B1" s="200" t="str">
        <f>assumptions!B1</f>
        <v>enter project name</v>
      </c>
      <c r="C1" s="28"/>
    </row>
    <row r="2" spans="1:34" ht="15" thickTop="1" x14ac:dyDescent="0.2">
      <c r="B2" s="13" t="s">
        <v>427</v>
      </c>
      <c r="E2" s="346"/>
      <c r="P2" s="314" t="s">
        <v>428</v>
      </c>
      <c r="R2" s="314"/>
    </row>
    <row r="3" spans="1:34" x14ac:dyDescent="0.2">
      <c r="B3" s="145"/>
    </row>
    <row r="4" spans="1:34" ht="28.5" x14ac:dyDescent="0.2">
      <c r="B4" s="13"/>
      <c r="E4" s="56" t="s">
        <v>429</v>
      </c>
      <c r="F4" s="146"/>
      <c r="G4" s="146"/>
      <c r="H4" s="146"/>
      <c r="I4" s="146"/>
      <c r="J4" s="146"/>
      <c r="K4" s="146"/>
      <c r="L4" s="146"/>
      <c r="M4" s="146"/>
      <c r="N4" s="146"/>
      <c r="O4" s="56" t="s">
        <v>430</v>
      </c>
      <c r="S4" s="22" t="s">
        <v>431</v>
      </c>
      <c r="U4" s="22"/>
      <c r="V4" s="22"/>
    </row>
    <row r="5" spans="1:34" x14ac:dyDescent="0.2">
      <c r="E5" s="56"/>
      <c r="F5" s="12">
        <v>1</v>
      </c>
      <c r="G5" s="12">
        <v>2</v>
      </c>
      <c r="H5" s="12">
        <v>3</v>
      </c>
      <c r="I5" s="12">
        <v>4</v>
      </c>
      <c r="J5" s="12">
        <v>5</v>
      </c>
      <c r="K5" s="12">
        <v>6</v>
      </c>
      <c r="L5" s="12">
        <v>7</v>
      </c>
      <c r="M5" s="12">
        <v>8</v>
      </c>
      <c r="N5" s="12">
        <v>9</v>
      </c>
      <c r="O5" s="12">
        <v>10</v>
      </c>
      <c r="P5" s="22">
        <v>11</v>
      </c>
      <c r="Q5" s="12">
        <v>12</v>
      </c>
      <c r="R5" s="12">
        <v>13</v>
      </c>
      <c r="S5" s="12">
        <v>14</v>
      </c>
      <c r="T5" s="12">
        <v>15</v>
      </c>
      <c r="U5" s="12">
        <v>16</v>
      </c>
      <c r="V5" s="12">
        <v>17</v>
      </c>
      <c r="W5" s="12">
        <v>18</v>
      </c>
      <c r="X5" s="12">
        <v>19</v>
      </c>
      <c r="Y5" s="12">
        <v>20</v>
      </c>
      <c r="Z5" s="12">
        <v>21</v>
      </c>
      <c r="AA5" s="12">
        <v>22</v>
      </c>
      <c r="AB5" s="12">
        <v>23</v>
      </c>
      <c r="AC5" s="12">
        <v>24</v>
      </c>
      <c r="AD5" s="12">
        <v>25</v>
      </c>
      <c r="AE5" s="12">
        <v>26</v>
      </c>
      <c r="AF5" s="12">
        <v>27</v>
      </c>
      <c r="AG5" s="12">
        <v>28</v>
      </c>
    </row>
    <row r="6" spans="1:34" x14ac:dyDescent="0.2">
      <c r="B6" s="13" t="s">
        <v>432</v>
      </c>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row>
    <row r="7" spans="1:34" ht="15" x14ac:dyDescent="0.25">
      <c r="A7" s="13"/>
      <c r="B7" s="249" t="str">
        <f>'sources-uses'!B4</f>
        <v>ACQUISITION</v>
      </c>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row>
    <row r="8" spans="1:34" x14ac:dyDescent="0.2">
      <c r="A8" s="13"/>
      <c r="B8" s="2" t="str">
        <f>'sources-uses'!B5</f>
        <v>Land</v>
      </c>
      <c r="D8" s="250">
        <f>'sources-uses'!C5</f>
        <v>0</v>
      </c>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252">
        <f>D8-SUM(E8:AG8)</f>
        <v>0</v>
      </c>
    </row>
    <row r="9" spans="1:34" x14ac:dyDescent="0.2">
      <c r="A9" s="13"/>
      <c r="B9" s="2" t="str">
        <f>'sources-uses'!B6</f>
        <v>Purchase of Building</v>
      </c>
      <c r="D9" s="250">
        <f>'sources-uses'!C6</f>
        <v>0</v>
      </c>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252">
        <f t="shared" ref="AH9:AH15" si="0">D9-SUM(E9:AG9)</f>
        <v>0</v>
      </c>
    </row>
    <row r="10" spans="1:34" x14ac:dyDescent="0.2">
      <c r="A10" s="13"/>
      <c r="B10" s="2" t="str">
        <f>'sources-uses'!B7</f>
        <v>Demolition (without replacement)</v>
      </c>
      <c r="D10" s="250">
        <f>'sources-uses'!C7</f>
        <v>0</v>
      </c>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252">
        <f t="shared" si="0"/>
        <v>0</v>
      </c>
    </row>
    <row r="11" spans="1:34" x14ac:dyDescent="0.2">
      <c r="A11" s="13"/>
      <c r="B11" s="2" t="str">
        <f>'sources-uses'!B8</f>
        <v>Appraisal</v>
      </c>
      <c r="D11" s="250">
        <f>'sources-uses'!C8</f>
        <v>0</v>
      </c>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252">
        <f t="shared" si="0"/>
        <v>0</v>
      </c>
    </row>
    <row r="12" spans="1:34" x14ac:dyDescent="0.2">
      <c r="A12" s="13"/>
      <c r="B12" s="2" t="str">
        <f>'sources-uses'!B9</f>
        <v>Legal - Title and Recording</v>
      </c>
      <c r="D12" s="250">
        <f>'sources-uses'!C9</f>
        <v>0</v>
      </c>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252">
        <f t="shared" si="0"/>
        <v>0</v>
      </c>
    </row>
    <row r="13" spans="1:34" outlineLevel="1" x14ac:dyDescent="0.2">
      <c r="A13" s="13"/>
      <c r="B13" s="316" t="str">
        <f>'sources-uses'!B10</f>
        <v>[Additional Field - Specify]</v>
      </c>
      <c r="D13" s="250">
        <f>'sources-uses'!C10</f>
        <v>0</v>
      </c>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252">
        <f t="shared" si="0"/>
        <v>0</v>
      </c>
    </row>
    <row r="14" spans="1:34" outlineLevel="1" x14ac:dyDescent="0.2">
      <c r="A14" s="13"/>
      <c r="B14" s="316" t="str">
        <f>'sources-uses'!B11</f>
        <v>[Additional Field - Specify]</v>
      </c>
      <c r="D14" s="250">
        <f>'sources-uses'!C11</f>
        <v>0</v>
      </c>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252">
        <f t="shared" si="0"/>
        <v>0</v>
      </c>
    </row>
    <row r="15" spans="1:34" outlineLevel="1" x14ac:dyDescent="0.2">
      <c r="A15" s="13"/>
      <c r="B15" s="316" t="str">
        <f>'sources-uses'!B12</f>
        <v>[Additional Field - Specify]</v>
      </c>
      <c r="D15" s="250">
        <f>'sources-uses'!C12</f>
        <v>0</v>
      </c>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252">
        <f t="shared" si="0"/>
        <v>0</v>
      </c>
    </row>
    <row r="16" spans="1:34" ht="15" x14ac:dyDescent="0.25">
      <c r="A16" s="13"/>
      <c r="B16" s="249" t="str">
        <f>'sources-uses'!B14</f>
        <v>CONSTRUCTION HARD COSTS</v>
      </c>
      <c r="C16" s="156"/>
      <c r="D16" s="251"/>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251"/>
    </row>
    <row r="17" spans="1:34" x14ac:dyDescent="0.2">
      <c r="A17" s="13"/>
      <c r="B17" s="2" t="str">
        <f>'sources-uses'!B15</f>
        <v>Construction - Residential</v>
      </c>
      <c r="D17" s="250">
        <f>'sources-uses'!C15</f>
        <v>0</v>
      </c>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252">
        <f>D17-SUM(E17:AG17)</f>
        <v>0</v>
      </c>
    </row>
    <row r="18" spans="1:34" x14ac:dyDescent="0.2">
      <c r="A18" s="13"/>
      <c r="B18" s="2" t="str">
        <f>'sources-uses'!B16</f>
        <v>Construction - Commercial</v>
      </c>
      <c r="D18" s="250">
        <f>'sources-uses'!C16</f>
        <v>0</v>
      </c>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252">
        <f t="shared" ref="AH18:AH28" si="1">D18-SUM(E18:AG18)</f>
        <v>0</v>
      </c>
    </row>
    <row r="19" spans="1:34" x14ac:dyDescent="0.2">
      <c r="A19" s="13"/>
      <c r="B19" s="2" t="str">
        <f>'sources-uses'!B17</f>
        <v>Site Work</v>
      </c>
      <c r="D19" s="250">
        <f>'sources-uses'!C17</f>
        <v>0</v>
      </c>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252">
        <f t="shared" si="1"/>
        <v>0</v>
      </c>
    </row>
    <row r="20" spans="1:34" x14ac:dyDescent="0.2">
      <c r="A20" s="13"/>
      <c r="B20" s="2" t="str">
        <f>'sources-uses'!B18</f>
        <v>Demolition - Construction</v>
      </c>
      <c r="D20" s="250">
        <f>'sources-uses'!C18</f>
        <v>0</v>
      </c>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252">
        <f t="shared" si="1"/>
        <v>0</v>
      </c>
    </row>
    <row r="21" spans="1:34" x14ac:dyDescent="0.2">
      <c r="A21" s="13"/>
      <c r="B21" s="2" t="str">
        <f>'sources-uses'!B19</f>
        <v>Commercial Fit Up</v>
      </c>
      <c r="D21" s="250">
        <f>'sources-uses'!C19</f>
        <v>0</v>
      </c>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252">
        <f t="shared" si="1"/>
        <v>0</v>
      </c>
    </row>
    <row r="22" spans="1:34" x14ac:dyDescent="0.2">
      <c r="A22" s="13"/>
      <c r="B22" s="2" t="str">
        <f>'sources-uses'!B20</f>
        <v>Contractor Overhead</v>
      </c>
      <c r="D22" s="250">
        <f>'sources-uses'!C20</f>
        <v>0</v>
      </c>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252">
        <f t="shared" si="1"/>
        <v>0</v>
      </c>
    </row>
    <row r="23" spans="1:34" x14ac:dyDescent="0.2">
      <c r="A23" s="13"/>
      <c r="B23" s="2" t="str">
        <f>'sources-uses'!B21</f>
        <v>Contractor Profit</v>
      </c>
      <c r="D23" s="250">
        <f>'sources-uses'!C21</f>
        <v>0</v>
      </c>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252">
        <f t="shared" si="1"/>
        <v>0</v>
      </c>
    </row>
    <row r="24" spans="1:34" x14ac:dyDescent="0.2">
      <c r="A24" s="13"/>
      <c r="B24" s="2" t="str">
        <f>'sources-uses'!B22</f>
        <v>Contractor General Requirements</v>
      </c>
      <c r="D24" s="250">
        <f>'sources-uses'!C22</f>
        <v>0</v>
      </c>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252">
        <f t="shared" si="1"/>
        <v>0</v>
      </c>
    </row>
    <row r="25" spans="1:34" x14ac:dyDescent="0.2">
      <c r="A25" s="13"/>
      <c r="B25" s="2" t="str">
        <f>'sources-uses'!B23</f>
        <v>Construction Contingency</v>
      </c>
      <c r="D25" s="250">
        <f>'sources-uses'!C23</f>
        <v>0</v>
      </c>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252">
        <f t="shared" si="1"/>
        <v>0</v>
      </c>
    </row>
    <row r="26" spans="1:34" x14ac:dyDescent="0.2">
      <c r="A26" s="13"/>
      <c r="B26" s="2" t="str">
        <f>'sources-uses'!B24</f>
        <v>Construction Bond Fee</v>
      </c>
      <c r="D26" s="250">
        <f>'sources-uses'!C24</f>
        <v>0</v>
      </c>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252">
        <f t="shared" si="1"/>
        <v>0</v>
      </c>
    </row>
    <row r="27" spans="1:34" x14ac:dyDescent="0.2">
      <c r="A27" s="13"/>
      <c r="B27" s="2" t="str">
        <f>'sources-uses'!B25</f>
        <v>Hazardous Materials Abatement</v>
      </c>
      <c r="D27" s="250">
        <f>'sources-uses'!C25</f>
        <v>0</v>
      </c>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252">
        <f t="shared" si="1"/>
        <v>0</v>
      </c>
    </row>
    <row r="28" spans="1:34" x14ac:dyDescent="0.2">
      <c r="A28" s="13"/>
      <c r="B28" s="2" t="str">
        <f>'sources-uses'!B26</f>
        <v>Off-Site Improvements</v>
      </c>
      <c r="D28" s="250">
        <f>'sources-uses'!C26</f>
        <v>0</v>
      </c>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252">
        <f t="shared" si="1"/>
        <v>0</v>
      </c>
    </row>
    <row r="29" spans="1:34" outlineLevel="1" x14ac:dyDescent="0.2">
      <c r="A29" s="13"/>
      <c r="B29" s="2" t="str">
        <f>'sources-uses'!B27</f>
        <v>Furnishings, Fixtures, &amp; Equipment</v>
      </c>
      <c r="D29" s="250">
        <f>'sources-uses'!C27</f>
        <v>0</v>
      </c>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252">
        <f t="shared" ref="AH29:AH34" si="2">D29-SUM(E29:AC29)</f>
        <v>0</v>
      </c>
    </row>
    <row r="30" spans="1:34" outlineLevel="1" x14ac:dyDescent="0.2">
      <c r="A30" s="13"/>
      <c r="B30" s="316" t="str">
        <f>'sources-uses'!B28</f>
        <v>[Additional Field - Specify]</v>
      </c>
      <c r="D30" s="250">
        <f>'sources-uses'!C28</f>
        <v>0</v>
      </c>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252">
        <f t="shared" si="2"/>
        <v>0</v>
      </c>
    </row>
    <row r="31" spans="1:34" outlineLevel="1" x14ac:dyDescent="0.2">
      <c r="A31" s="13"/>
      <c r="B31" s="316" t="str">
        <f>'sources-uses'!B29</f>
        <v>[Additional Field - Specify]</v>
      </c>
      <c r="D31" s="250">
        <f>'sources-uses'!C29</f>
        <v>0</v>
      </c>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252">
        <f t="shared" si="2"/>
        <v>0</v>
      </c>
    </row>
    <row r="32" spans="1:34" outlineLevel="1" x14ac:dyDescent="0.2">
      <c r="A32" s="13"/>
      <c r="B32" s="316" t="str">
        <f>'sources-uses'!B30</f>
        <v>[Additional Field - Specify]</v>
      </c>
      <c r="D32" s="250">
        <f>'sources-uses'!C30</f>
        <v>0</v>
      </c>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252">
        <f t="shared" si="2"/>
        <v>0</v>
      </c>
    </row>
    <row r="33" spans="1:34" outlineLevel="1" x14ac:dyDescent="0.2">
      <c r="A33" s="13"/>
      <c r="B33" s="316" t="str">
        <f>'sources-uses'!B31</f>
        <v>[Additional Field - Specify]</v>
      </c>
      <c r="D33" s="250">
        <f>'sources-uses'!C31</f>
        <v>0</v>
      </c>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252">
        <f t="shared" si="2"/>
        <v>0</v>
      </c>
    </row>
    <row r="34" spans="1:34" outlineLevel="1" x14ac:dyDescent="0.2">
      <c r="A34" s="13"/>
      <c r="B34" s="316" t="str">
        <f>'sources-uses'!B32</f>
        <v>[Additional Field - Specify]</v>
      </c>
      <c r="D34" s="250">
        <f>'sources-uses'!C32</f>
        <v>0</v>
      </c>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252">
        <f t="shared" si="2"/>
        <v>0</v>
      </c>
    </row>
    <row r="35" spans="1:34" ht="15" x14ac:dyDescent="0.25">
      <c r="A35" s="13"/>
      <c r="B35" s="249" t="str">
        <f>'sources-uses'!B35</f>
        <v>SOFT COSTS</v>
      </c>
      <c r="C35" s="156"/>
      <c r="D35" s="251"/>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251"/>
    </row>
    <row r="36" spans="1:34" x14ac:dyDescent="0.2">
      <c r="A36" s="13"/>
      <c r="B36" s="2" t="str">
        <f>'sources-uses'!B36</f>
        <v>Architectural</v>
      </c>
      <c r="D36" s="250">
        <f>'sources-uses'!C36</f>
        <v>0</v>
      </c>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252">
        <f>D36-SUM(E36:AG36)</f>
        <v>0</v>
      </c>
    </row>
    <row r="37" spans="1:34" x14ac:dyDescent="0.2">
      <c r="A37" s="13"/>
      <c r="B37" s="2" t="str">
        <f>'sources-uses'!B37</f>
        <v>Engineering</v>
      </c>
      <c r="D37" s="250">
        <f>'sources-uses'!C37</f>
        <v>0</v>
      </c>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252">
        <f t="shared" ref="AH37:AH69" si="3">D37-SUM(E37:AG37)</f>
        <v>0</v>
      </c>
    </row>
    <row r="38" spans="1:34" x14ac:dyDescent="0.2">
      <c r="A38" s="13"/>
      <c r="B38" s="2" t="str">
        <f>'sources-uses'!B38</f>
        <v xml:space="preserve">A&amp;E Combined Contract </v>
      </c>
      <c r="D38" s="250">
        <f>'sources-uses'!C38</f>
        <v>0</v>
      </c>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252">
        <f t="shared" si="3"/>
        <v>0</v>
      </c>
    </row>
    <row r="39" spans="1:34" x14ac:dyDescent="0.2">
      <c r="A39" s="13"/>
      <c r="B39" s="2" t="str">
        <f>'sources-uses'!B39</f>
        <v>Legal/Accounting</v>
      </c>
      <c r="D39" s="250">
        <f>'sources-uses'!C39</f>
        <v>0</v>
      </c>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252">
        <f t="shared" si="3"/>
        <v>0</v>
      </c>
    </row>
    <row r="40" spans="1:34" x14ac:dyDescent="0.2">
      <c r="A40" s="13"/>
      <c r="B40" s="2" t="str">
        <f>'sources-uses'!B40</f>
        <v>Relocation</v>
      </c>
      <c r="D40" s="250">
        <f>'sources-uses'!C40</f>
        <v>0</v>
      </c>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252">
        <f t="shared" si="3"/>
        <v>0</v>
      </c>
    </row>
    <row r="41" spans="1:34" x14ac:dyDescent="0.2">
      <c r="A41" s="13"/>
      <c r="B41" s="2" t="str">
        <f>'sources-uses'!B41</f>
        <v>Construction Inspections</v>
      </c>
      <c r="D41" s="250">
        <f>'sources-uses'!C41</f>
        <v>0</v>
      </c>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252">
        <f t="shared" si="3"/>
        <v>0</v>
      </c>
    </row>
    <row r="42" spans="1:34" x14ac:dyDescent="0.2">
      <c r="A42" s="13"/>
      <c r="B42" s="2" t="str">
        <f>'sources-uses'!B42</f>
        <v>Environmental Assessment</v>
      </c>
      <c r="D42" s="250">
        <f>'sources-uses'!C42</f>
        <v>0</v>
      </c>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252">
        <f t="shared" si="3"/>
        <v>0</v>
      </c>
    </row>
    <row r="43" spans="1:34" x14ac:dyDescent="0.2">
      <c r="A43" s="13"/>
      <c r="B43" s="2" t="str">
        <f>'sources-uses'!B43</f>
        <v>Energy Assessment</v>
      </c>
      <c r="D43" s="250">
        <f>'sources-uses'!C43</f>
        <v>0</v>
      </c>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252">
        <f t="shared" si="3"/>
        <v>0</v>
      </c>
    </row>
    <row r="44" spans="1:34" x14ac:dyDescent="0.2">
      <c r="A44" s="13"/>
      <c r="B44" s="2" t="str">
        <f>'sources-uses'!B44</f>
        <v>Permits/Fees</v>
      </c>
      <c r="D44" s="250">
        <f>'sources-uses'!C44</f>
        <v>0</v>
      </c>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252">
        <f t="shared" si="3"/>
        <v>0</v>
      </c>
    </row>
    <row r="45" spans="1:34" x14ac:dyDescent="0.2">
      <c r="A45" s="13"/>
      <c r="B45" s="2" t="str">
        <f>'sources-uses'!B45</f>
        <v>Market Study</v>
      </c>
      <c r="D45" s="250">
        <f>'sources-uses'!C45</f>
        <v>0</v>
      </c>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252">
        <f t="shared" si="3"/>
        <v>0</v>
      </c>
    </row>
    <row r="46" spans="1:34" x14ac:dyDescent="0.2">
      <c r="A46" s="13"/>
      <c r="B46" s="2" t="str">
        <f>'sources-uses'!B46</f>
        <v>Cost Certification</v>
      </c>
      <c r="D46" s="250">
        <f>'sources-uses'!C46</f>
        <v>0</v>
      </c>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252">
        <f t="shared" si="3"/>
        <v>0</v>
      </c>
    </row>
    <row r="47" spans="1:34" x14ac:dyDescent="0.2">
      <c r="A47" s="13"/>
      <c r="B47" s="2" t="str">
        <f>'sources-uses'!B47</f>
        <v>Capital Needs Assessment</v>
      </c>
      <c r="D47" s="250">
        <f>'sources-uses'!C47</f>
        <v>0</v>
      </c>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252">
        <f t="shared" si="3"/>
        <v>0</v>
      </c>
    </row>
    <row r="48" spans="1:34" x14ac:dyDescent="0.2">
      <c r="A48" s="13"/>
      <c r="B48" s="2" t="str">
        <f>'sources-uses'!B48</f>
        <v>Construction Period Insurance</v>
      </c>
      <c r="D48" s="250">
        <f>'sources-uses'!C48</f>
        <v>0</v>
      </c>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252">
        <f t="shared" si="3"/>
        <v>0</v>
      </c>
    </row>
    <row r="49" spans="1:34" x14ac:dyDescent="0.2">
      <c r="A49" s="13"/>
      <c r="B49" s="2" t="str">
        <f>'sources-uses'!B49</f>
        <v>Construction Loan Interest</v>
      </c>
      <c r="D49" s="250">
        <f>'sources-uses'!C49</f>
        <v>0</v>
      </c>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252">
        <f t="shared" si="3"/>
        <v>0</v>
      </c>
    </row>
    <row r="50" spans="1:34" x14ac:dyDescent="0.2">
      <c r="A50" s="13"/>
      <c r="B50" s="2" t="str">
        <f>'sources-uses'!B50</f>
        <v>Construction Loan Origination Fee</v>
      </c>
      <c r="D50" s="250">
        <f>'sources-uses'!C50</f>
        <v>0</v>
      </c>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252">
        <f t="shared" si="3"/>
        <v>0</v>
      </c>
    </row>
    <row r="51" spans="1:34" x14ac:dyDescent="0.2">
      <c r="A51" s="13"/>
      <c r="B51" s="2" t="str">
        <f>'sources-uses'!B51</f>
        <v>Taxes During Construction</v>
      </c>
      <c r="D51" s="250">
        <f>'sources-uses'!C51</f>
        <v>0</v>
      </c>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252">
        <f t="shared" si="3"/>
        <v>0</v>
      </c>
    </row>
    <row r="52" spans="1:34" x14ac:dyDescent="0.2">
      <c r="A52" s="13"/>
      <c r="B52" s="2" t="str">
        <f>'sources-uses'!B52</f>
        <v>Clerk of the Works</v>
      </c>
      <c r="D52" s="250">
        <f>'sources-uses'!C52</f>
        <v>0</v>
      </c>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252">
        <f t="shared" si="3"/>
        <v>0</v>
      </c>
    </row>
    <row r="53" spans="1:34" x14ac:dyDescent="0.2">
      <c r="A53" s="13"/>
      <c r="B53" s="2" t="str">
        <f>'sources-uses'!B53</f>
        <v>Marketing</v>
      </c>
      <c r="D53" s="250">
        <f>'sources-uses'!C53</f>
        <v>0</v>
      </c>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252">
        <f t="shared" si="3"/>
        <v>0</v>
      </c>
    </row>
    <row r="54" spans="1:34" x14ac:dyDescent="0.2">
      <c r="A54" s="13"/>
      <c r="B54" s="2" t="str">
        <f>'sources-uses'!B54</f>
        <v>Tax Credit Fees</v>
      </c>
      <c r="D54" s="250">
        <f>'sources-uses'!C54</f>
        <v>0</v>
      </c>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252">
        <f t="shared" si="3"/>
        <v>0</v>
      </c>
    </row>
    <row r="55" spans="1:34" x14ac:dyDescent="0.2">
      <c r="A55" s="13"/>
      <c r="B55" s="2" t="str">
        <f>'sources-uses'!B55</f>
        <v>Soft Cost Contingency</v>
      </c>
      <c r="D55" s="250">
        <f>'sources-uses'!C55</f>
        <v>0</v>
      </c>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252">
        <f t="shared" si="3"/>
        <v>0</v>
      </c>
    </row>
    <row r="56" spans="1:34" x14ac:dyDescent="0.2">
      <c r="A56" s="13"/>
      <c r="B56" s="2" t="str">
        <f>'sources-uses'!B56</f>
        <v>Permanent Loan Origination Fee</v>
      </c>
      <c r="D56" s="250">
        <f>'sources-uses'!C56</f>
        <v>0</v>
      </c>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252">
        <f t="shared" si="3"/>
        <v>0</v>
      </c>
    </row>
    <row r="57" spans="1:34" x14ac:dyDescent="0.2">
      <c r="A57" s="13"/>
      <c r="B57" s="2" t="str">
        <f>'sources-uses'!B57</f>
        <v>Lender's Counsel's Fee</v>
      </c>
      <c r="D57" s="250">
        <f>'sources-uses'!C57</f>
        <v>0</v>
      </c>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252">
        <f t="shared" si="3"/>
        <v>0</v>
      </c>
    </row>
    <row r="58" spans="1:34" x14ac:dyDescent="0.2">
      <c r="A58" s="13"/>
      <c r="B58" s="316" t="str">
        <f>'sources-uses'!B58</f>
        <v>[Additional Field - Specify]</v>
      </c>
      <c r="D58" s="250">
        <f>'sources-uses'!C58</f>
        <v>0</v>
      </c>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252">
        <f t="shared" si="3"/>
        <v>0</v>
      </c>
    </row>
    <row r="59" spans="1:34" x14ac:dyDescent="0.2">
      <c r="A59" s="13"/>
      <c r="B59" s="316" t="str">
        <f>'sources-uses'!B59</f>
        <v>[Additional Field - Specify]</v>
      </c>
      <c r="D59" s="250">
        <f>'sources-uses'!C59</f>
        <v>0</v>
      </c>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252">
        <f t="shared" si="3"/>
        <v>0</v>
      </c>
    </row>
    <row r="60" spans="1:34" x14ac:dyDescent="0.2">
      <c r="A60" s="13"/>
      <c r="B60" s="316" t="str">
        <f>'sources-uses'!B60</f>
        <v>[Additional Field - Specify]</v>
      </c>
      <c r="D60" s="250">
        <f>'sources-uses'!C60</f>
        <v>0</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252">
        <f t="shared" si="3"/>
        <v>0</v>
      </c>
    </row>
    <row r="61" spans="1:34" x14ac:dyDescent="0.2">
      <c r="A61" s="13"/>
      <c r="B61" s="316" t="str">
        <f>'sources-uses'!B61</f>
        <v>[Additional Field - Specify]</v>
      </c>
      <c r="D61" s="250">
        <f>'sources-uses'!C61</f>
        <v>0</v>
      </c>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252">
        <f t="shared" si="3"/>
        <v>0</v>
      </c>
    </row>
    <row r="62" spans="1:34" x14ac:dyDescent="0.2">
      <c r="A62" s="13"/>
      <c r="B62" s="316" t="str">
        <f>'sources-uses'!B62</f>
        <v>[Additional Field - Specify]</v>
      </c>
      <c r="D62" s="250">
        <f>'sources-uses'!C62</f>
        <v>0</v>
      </c>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252">
        <f t="shared" si="3"/>
        <v>0</v>
      </c>
    </row>
    <row r="63" spans="1:34" x14ac:dyDescent="0.2">
      <c r="A63" s="13"/>
      <c r="B63" s="316" t="str">
        <f>'sources-uses'!B63</f>
        <v>[Additional Field - Specify]</v>
      </c>
      <c r="D63" s="250">
        <f>'sources-uses'!C63</f>
        <v>0</v>
      </c>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252">
        <f t="shared" si="3"/>
        <v>0</v>
      </c>
    </row>
    <row r="64" spans="1:34" x14ac:dyDescent="0.2">
      <c r="A64" s="13"/>
      <c r="B64" s="316" t="str">
        <f>'sources-uses'!B64</f>
        <v>[Additional Field - Specify]</v>
      </c>
      <c r="D64" s="250">
        <f>'sources-uses'!C64</f>
        <v>0</v>
      </c>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252">
        <f t="shared" si="3"/>
        <v>0</v>
      </c>
    </row>
    <row r="65" spans="1:34" x14ac:dyDescent="0.2">
      <c r="A65" s="13"/>
      <c r="B65" s="316" t="str">
        <f>'sources-uses'!B65</f>
        <v>[Additional Field - Specify]</v>
      </c>
      <c r="D65" s="250">
        <f>'sources-uses'!C65</f>
        <v>0</v>
      </c>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252">
        <f t="shared" si="3"/>
        <v>0</v>
      </c>
    </row>
    <row r="66" spans="1:34" ht="15" x14ac:dyDescent="0.25">
      <c r="A66" s="13"/>
      <c r="B66" s="249" t="str">
        <f>'sources-uses'!B67</f>
        <v>SYNDICATION COSTS</v>
      </c>
      <c r="C66" s="156"/>
      <c r="D66" s="251"/>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251"/>
    </row>
    <row r="67" spans="1:34" x14ac:dyDescent="0.2">
      <c r="A67" s="13"/>
      <c r="B67" s="2" t="str">
        <f>'sources-uses'!B68</f>
        <v>Organizational (Partnership)</v>
      </c>
      <c r="D67" s="250">
        <f>'sources-uses'!C68</f>
        <v>0</v>
      </c>
      <c r="E67" s="147"/>
      <c r="F67" s="147"/>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252">
        <f t="shared" si="3"/>
        <v>0</v>
      </c>
    </row>
    <row r="68" spans="1:34" x14ac:dyDescent="0.2">
      <c r="A68" s="13"/>
      <c r="B68" s="2" t="str">
        <f>'sources-uses'!B69</f>
        <v>Bridge Loan Fees and Expenses</v>
      </c>
      <c r="D68" s="250">
        <f>'sources-uses'!C69</f>
        <v>0</v>
      </c>
      <c r="E68" s="147"/>
      <c r="F68" s="147"/>
      <c r="G68" s="147"/>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147"/>
      <c r="AF68" s="147"/>
      <c r="AG68" s="147"/>
      <c r="AH68" s="252">
        <f t="shared" si="3"/>
        <v>0</v>
      </c>
    </row>
    <row r="69" spans="1:34" x14ac:dyDescent="0.2">
      <c r="A69" s="13"/>
      <c r="B69" s="2" t="str">
        <f>'sources-uses'!B70</f>
        <v>Syndication Consultant</v>
      </c>
      <c r="D69" s="250">
        <f>'sources-uses'!C70</f>
        <v>0</v>
      </c>
      <c r="E69" s="147"/>
      <c r="F69" s="147"/>
      <c r="G69" s="147"/>
      <c r="H69" s="147"/>
      <c r="I69" s="147"/>
      <c r="J69" s="147"/>
      <c r="K69" s="147"/>
      <c r="L69" s="147"/>
      <c r="M69" s="147"/>
      <c r="N69" s="147"/>
      <c r="O69" s="147"/>
      <c r="P69" s="147"/>
      <c r="Q69" s="147"/>
      <c r="R69" s="147"/>
      <c r="S69" s="147"/>
      <c r="T69" s="147"/>
      <c r="U69" s="147"/>
      <c r="V69" s="147"/>
      <c r="W69" s="147"/>
      <c r="X69" s="147"/>
      <c r="Y69" s="147"/>
      <c r="Z69" s="147"/>
      <c r="AA69" s="147"/>
      <c r="AB69" s="147"/>
      <c r="AC69" s="147"/>
      <c r="AD69" s="147"/>
      <c r="AE69" s="147"/>
      <c r="AF69" s="147"/>
      <c r="AG69" s="147"/>
      <c r="AH69" s="252">
        <f t="shared" si="3"/>
        <v>0</v>
      </c>
    </row>
    <row r="70" spans="1:34" x14ac:dyDescent="0.2">
      <c r="A70" s="13"/>
      <c r="B70" s="2" t="str">
        <f>'sources-uses'!B71</f>
        <v>Tax Opinion</v>
      </c>
      <c r="D70" s="250">
        <f>'sources-uses'!C71</f>
        <v>0</v>
      </c>
      <c r="E70" s="147"/>
      <c r="F70" s="147"/>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252">
        <f>D70-SUM(E70:AG70)</f>
        <v>0</v>
      </c>
    </row>
    <row r="71" spans="1:34" outlineLevel="1" x14ac:dyDescent="0.2">
      <c r="A71" s="13"/>
      <c r="B71" s="2" t="str">
        <f>'sources-uses'!B72</f>
        <v>[Additional Field - Specify]</v>
      </c>
      <c r="D71" s="250">
        <f>'sources-uses'!C72</f>
        <v>0</v>
      </c>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252">
        <f t="shared" ref="AH71:AH73" si="4">D71-SUM(E71:AC71)</f>
        <v>0</v>
      </c>
    </row>
    <row r="72" spans="1:34" outlineLevel="1" x14ac:dyDescent="0.2">
      <c r="A72" s="13"/>
      <c r="B72" s="2" t="str">
        <f>'sources-uses'!B73</f>
        <v>[Additional Field - Specify]</v>
      </c>
      <c r="D72" s="250">
        <f>'sources-uses'!C73</f>
        <v>0</v>
      </c>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252">
        <f t="shared" si="4"/>
        <v>0</v>
      </c>
    </row>
    <row r="73" spans="1:34" outlineLevel="1" x14ac:dyDescent="0.2">
      <c r="A73" s="13"/>
      <c r="B73" s="2" t="str">
        <f>'sources-uses'!B74</f>
        <v>[Additional Field - Specify]</v>
      </c>
      <c r="D73" s="250">
        <f>'sources-uses'!C74</f>
        <v>0</v>
      </c>
      <c r="E73" s="147"/>
      <c r="F73" s="147"/>
      <c r="G73" s="147"/>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252">
        <f t="shared" si="4"/>
        <v>0</v>
      </c>
    </row>
    <row r="74" spans="1:34" ht="15" x14ac:dyDescent="0.25">
      <c r="A74" s="13"/>
      <c r="B74" s="249" t="str">
        <f>'sources-uses'!B76</f>
        <v>DEVELOPER'S FEES</v>
      </c>
      <c r="C74" s="156"/>
      <c r="D74" s="251"/>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251"/>
    </row>
    <row r="75" spans="1:34" x14ac:dyDescent="0.2">
      <c r="A75" s="13"/>
      <c r="B75" s="2" t="str">
        <f>'sources-uses'!B77</f>
        <v>Developer's Fees</v>
      </c>
      <c r="D75" s="250">
        <f>'sources-uses'!C77</f>
        <v>0</v>
      </c>
      <c r="E75" s="147"/>
      <c r="F75" s="147"/>
      <c r="G75" s="147"/>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252">
        <f t="shared" ref="AH75:AH77" si="5">D75-SUM(E75:AG75)</f>
        <v>0</v>
      </c>
    </row>
    <row r="76" spans="1:34" x14ac:dyDescent="0.2">
      <c r="A76" s="13"/>
      <c r="B76" s="2" t="str">
        <f>'sources-uses'!B78</f>
        <v>Other Partnership Fees</v>
      </c>
      <c r="D76" s="250">
        <f>'sources-uses'!C78</f>
        <v>0</v>
      </c>
      <c r="E76" s="147"/>
      <c r="F76" s="147"/>
      <c r="G76" s="147"/>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252">
        <f t="shared" si="5"/>
        <v>0</v>
      </c>
    </row>
    <row r="77" spans="1:34" x14ac:dyDescent="0.2">
      <c r="A77" s="13"/>
      <c r="B77" s="2" t="str">
        <f>'sources-uses'!B79</f>
        <v>Consultant Fees</v>
      </c>
      <c r="D77" s="250">
        <f>'sources-uses'!C79</f>
        <v>0</v>
      </c>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252">
        <f t="shared" si="5"/>
        <v>0</v>
      </c>
    </row>
    <row r="78" spans="1:34" outlineLevel="1" x14ac:dyDescent="0.2">
      <c r="A78" s="13"/>
      <c r="B78" s="2" t="str">
        <f>'sources-uses'!B80</f>
        <v>[Additional Field - Specify]</v>
      </c>
      <c r="D78" s="250">
        <f>'sources-uses'!C80</f>
        <v>0</v>
      </c>
      <c r="E78" s="147"/>
      <c r="F78" s="147"/>
      <c r="G78" s="147"/>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252">
        <f t="shared" ref="AH78:AH80" si="6">D78-SUM(E78:AC78)</f>
        <v>0</v>
      </c>
    </row>
    <row r="79" spans="1:34" outlineLevel="1" x14ac:dyDescent="0.2">
      <c r="A79" s="13"/>
      <c r="B79" s="2" t="str">
        <f>'sources-uses'!B81</f>
        <v>[Additional Field - Specify]</v>
      </c>
      <c r="D79" s="250">
        <f>'sources-uses'!C81</f>
        <v>0</v>
      </c>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252">
        <f t="shared" si="6"/>
        <v>0</v>
      </c>
    </row>
    <row r="80" spans="1:34" outlineLevel="1" x14ac:dyDescent="0.2">
      <c r="A80" s="13"/>
      <c r="B80" s="2" t="str">
        <f>'sources-uses'!B82</f>
        <v>[Additional Field - Specify]</v>
      </c>
      <c r="D80" s="250">
        <f>'sources-uses'!C82</f>
        <v>0</v>
      </c>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252">
        <f t="shared" si="6"/>
        <v>0</v>
      </c>
    </row>
    <row r="81" spans="1:34" ht="15" x14ac:dyDescent="0.25">
      <c r="A81" s="13"/>
      <c r="B81" s="249" t="str">
        <f>'sources-uses'!B84</f>
        <v>RESERVES</v>
      </c>
      <c r="C81" s="156"/>
      <c r="D81" s="251"/>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251"/>
    </row>
    <row r="82" spans="1:34" x14ac:dyDescent="0.2">
      <c r="A82" s="13"/>
      <c r="B82" s="2" t="str">
        <f>'sources-uses'!B85</f>
        <v>Working Capital</v>
      </c>
      <c r="D82" s="250">
        <f>'sources-uses'!C85</f>
        <v>0</v>
      </c>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252">
        <f t="shared" ref="AH82:AH88" si="7">D82-SUM(E82:AG82)</f>
        <v>0</v>
      </c>
    </row>
    <row r="83" spans="1:34" x14ac:dyDescent="0.2">
      <c r="A83" s="13"/>
      <c r="B83" s="2" t="str">
        <f>'sources-uses'!B86</f>
        <v>Rent-up (Deficit Escrow) Reserve</v>
      </c>
      <c r="D83" s="250">
        <f>'sources-uses'!C86</f>
        <v>0</v>
      </c>
      <c r="E83" s="147"/>
      <c r="F83" s="147"/>
      <c r="G83" s="147"/>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c r="AG83" s="147"/>
      <c r="AH83" s="252">
        <f t="shared" si="7"/>
        <v>0</v>
      </c>
    </row>
    <row r="84" spans="1:34" x14ac:dyDescent="0.2">
      <c r="A84" s="13"/>
      <c r="B84" s="2" t="str">
        <f>'sources-uses'!B87</f>
        <v>Operating Reserves</v>
      </c>
      <c r="D84" s="250">
        <f>'sources-uses'!C87</f>
        <v>0</v>
      </c>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252">
        <f t="shared" si="7"/>
        <v>0</v>
      </c>
    </row>
    <row r="85" spans="1:34" x14ac:dyDescent="0.2">
      <c r="A85" s="13"/>
      <c r="B85" s="2" t="str">
        <f>'sources-uses'!B88</f>
        <v>Replacement Reserves</v>
      </c>
      <c r="D85" s="250">
        <f>'sources-uses'!C88</f>
        <v>0</v>
      </c>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252">
        <f t="shared" si="7"/>
        <v>0</v>
      </c>
    </row>
    <row r="86" spans="1:34" outlineLevel="1" x14ac:dyDescent="0.2">
      <c r="A86" s="13"/>
      <c r="B86" s="2" t="str">
        <f>'sources-uses'!B89</f>
        <v>[Additional Field - Specify]</v>
      </c>
      <c r="D86" s="250">
        <f>'sources-uses'!C89</f>
        <v>0</v>
      </c>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252">
        <f t="shared" si="7"/>
        <v>0</v>
      </c>
    </row>
    <row r="87" spans="1:34" outlineLevel="1" x14ac:dyDescent="0.2">
      <c r="A87" s="13"/>
      <c r="B87" s="2" t="str">
        <f>'sources-uses'!B90</f>
        <v>[Additional Field - Specify]</v>
      </c>
      <c r="D87" s="250">
        <f>'sources-uses'!C90</f>
        <v>0</v>
      </c>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252">
        <f t="shared" si="7"/>
        <v>0</v>
      </c>
    </row>
    <row r="88" spans="1:34" x14ac:dyDescent="0.2">
      <c r="A88" s="13"/>
      <c r="B88" s="219" t="s">
        <v>433</v>
      </c>
      <c r="D88" s="250"/>
      <c r="E88" s="245">
        <f>IF(E131&gt;0,-E131,0)</f>
        <v>0</v>
      </c>
      <c r="F88" s="245">
        <f t="shared" ref="F88:AC88" si="8">IF(F131&gt;0,-F131,0)</f>
        <v>0</v>
      </c>
      <c r="G88" s="245">
        <f t="shared" si="8"/>
        <v>0</v>
      </c>
      <c r="H88" s="245">
        <f t="shared" si="8"/>
        <v>0</v>
      </c>
      <c r="I88" s="245">
        <f t="shared" si="8"/>
        <v>0</v>
      </c>
      <c r="J88" s="245">
        <f t="shared" si="8"/>
        <v>0</v>
      </c>
      <c r="K88" s="245">
        <f t="shared" si="8"/>
        <v>0</v>
      </c>
      <c r="L88" s="245">
        <f t="shared" si="8"/>
        <v>0</v>
      </c>
      <c r="M88" s="245">
        <f t="shared" si="8"/>
        <v>0</v>
      </c>
      <c r="N88" s="245">
        <f t="shared" si="8"/>
        <v>0</v>
      </c>
      <c r="O88" s="245">
        <f t="shared" si="8"/>
        <v>0</v>
      </c>
      <c r="P88" s="245">
        <f t="shared" si="8"/>
        <v>0</v>
      </c>
      <c r="Q88" s="245">
        <f t="shared" si="8"/>
        <v>0</v>
      </c>
      <c r="R88" s="245">
        <f t="shared" si="8"/>
        <v>0</v>
      </c>
      <c r="S88" s="245">
        <f t="shared" si="8"/>
        <v>0</v>
      </c>
      <c r="T88" s="245">
        <f t="shared" si="8"/>
        <v>0</v>
      </c>
      <c r="U88" s="245">
        <f t="shared" si="8"/>
        <v>0</v>
      </c>
      <c r="V88" s="245">
        <f t="shared" si="8"/>
        <v>0</v>
      </c>
      <c r="W88" s="245">
        <f t="shared" si="8"/>
        <v>0</v>
      </c>
      <c r="X88" s="245">
        <f t="shared" si="8"/>
        <v>0</v>
      </c>
      <c r="Y88" s="245">
        <f t="shared" si="8"/>
        <v>0</v>
      </c>
      <c r="Z88" s="245">
        <f t="shared" si="8"/>
        <v>0</v>
      </c>
      <c r="AA88" s="245">
        <f t="shared" si="8"/>
        <v>0</v>
      </c>
      <c r="AB88" s="245">
        <f t="shared" si="8"/>
        <v>0</v>
      </c>
      <c r="AC88" s="245">
        <f t="shared" si="8"/>
        <v>0</v>
      </c>
      <c r="AD88" s="245"/>
      <c r="AE88" s="245"/>
      <c r="AF88" s="245"/>
      <c r="AG88" s="245"/>
      <c r="AH88" s="252">
        <f t="shared" si="7"/>
        <v>0</v>
      </c>
    </row>
    <row r="89" spans="1:34" x14ac:dyDescent="0.2">
      <c r="B89" s="2" t="s">
        <v>180</v>
      </c>
      <c r="D89" s="247">
        <f>SUM(D8:D87)</f>
        <v>0</v>
      </c>
      <c r="E89" s="247">
        <f>SUM(E8:E87)</f>
        <v>0</v>
      </c>
      <c r="F89" s="247">
        <f t="shared" ref="F89:Q89" si="9">SUM(F8:F87)</f>
        <v>0</v>
      </c>
      <c r="G89" s="247">
        <f t="shared" si="9"/>
        <v>0</v>
      </c>
      <c r="H89" s="247">
        <f t="shared" si="9"/>
        <v>0</v>
      </c>
      <c r="I89" s="247">
        <f t="shared" si="9"/>
        <v>0</v>
      </c>
      <c r="J89" s="247">
        <f t="shared" si="9"/>
        <v>0</v>
      </c>
      <c r="K89" s="247">
        <f t="shared" si="9"/>
        <v>0</v>
      </c>
      <c r="L89" s="247">
        <f t="shared" si="9"/>
        <v>0</v>
      </c>
      <c r="M89" s="247">
        <f t="shared" si="9"/>
        <v>0</v>
      </c>
      <c r="N89" s="247">
        <f t="shared" si="9"/>
        <v>0</v>
      </c>
      <c r="O89" s="247">
        <f t="shared" si="9"/>
        <v>0</v>
      </c>
      <c r="P89" s="247">
        <f t="shared" si="9"/>
        <v>0</v>
      </c>
      <c r="Q89" s="247">
        <f t="shared" si="9"/>
        <v>0</v>
      </c>
      <c r="R89" s="247">
        <f>SUM(R8:R87)</f>
        <v>0</v>
      </c>
      <c r="S89" s="247">
        <f t="shared" ref="S89:AB89" si="10">SUM(S8:S87)</f>
        <v>0</v>
      </c>
      <c r="T89" s="247">
        <f t="shared" si="10"/>
        <v>0</v>
      </c>
      <c r="U89" s="247">
        <f t="shared" si="10"/>
        <v>0</v>
      </c>
      <c r="V89" s="247">
        <f t="shared" si="10"/>
        <v>0</v>
      </c>
      <c r="W89" s="247">
        <f t="shared" si="10"/>
        <v>0</v>
      </c>
      <c r="X89" s="247">
        <f t="shared" si="10"/>
        <v>0</v>
      </c>
      <c r="Y89" s="247">
        <f t="shared" si="10"/>
        <v>0</v>
      </c>
      <c r="Z89" s="247">
        <f t="shared" si="10"/>
        <v>0</v>
      </c>
      <c r="AA89" s="247">
        <f t="shared" si="10"/>
        <v>0</v>
      </c>
      <c r="AB89" s="247">
        <f t="shared" si="10"/>
        <v>0</v>
      </c>
      <c r="AC89" s="247">
        <f>SUM(AC8:AC87)</f>
        <v>0</v>
      </c>
      <c r="AD89" s="247">
        <f t="shared" ref="AD89:AG89" si="11">SUM(AD8:AD87)</f>
        <v>0</v>
      </c>
      <c r="AE89" s="247">
        <f t="shared" si="11"/>
        <v>0</v>
      </c>
      <c r="AF89" s="247">
        <f t="shared" si="11"/>
        <v>0</v>
      </c>
      <c r="AG89" s="247">
        <f t="shared" si="11"/>
        <v>0</v>
      </c>
      <c r="AH89" s="252"/>
    </row>
    <row r="90" spans="1:34" x14ac:dyDescent="0.2">
      <c r="B90" s="2"/>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4"/>
    </row>
    <row r="91" spans="1:34" x14ac:dyDescent="0.2">
      <c r="B91" s="2" t="s">
        <v>434</v>
      </c>
      <c r="D91" s="483"/>
      <c r="E91" s="483"/>
      <c r="F91" s="483"/>
      <c r="G91" s="483"/>
      <c r="H91" s="483"/>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4"/>
    </row>
    <row r="92" spans="1:34" x14ac:dyDescent="0.2">
      <c r="B92" s="2" t="str">
        <f>assumptions!A21</f>
        <v>Other Permanent Debt</v>
      </c>
      <c r="D92" s="245">
        <f>assumptions!B21</f>
        <v>0</v>
      </c>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248">
        <f>D92-SUM(E92:AG92)</f>
        <v>0</v>
      </c>
    </row>
    <row r="93" spans="1:34" outlineLevel="1" x14ac:dyDescent="0.2">
      <c r="B93" s="316" t="str">
        <f>assumptions!A23</f>
        <v>[Additional Field - Specify] (Amortizing)</v>
      </c>
      <c r="D93" s="245">
        <f>assumptions!B23</f>
        <v>0</v>
      </c>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248">
        <f t="shared" ref="AH93:AH126" si="12">D93-SUM(E93:AG93)</f>
        <v>0</v>
      </c>
    </row>
    <row r="94" spans="1:34" outlineLevel="1" x14ac:dyDescent="0.2">
      <c r="B94" s="316" t="str">
        <f>assumptions!A24</f>
        <v>[Additional Field - Specify] (Amortizing)</v>
      </c>
      <c r="D94" s="245">
        <f>assumptions!B24</f>
        <v>0</v>
      </c>
      <c r="E94" s="148"/>
      <c r="F94" s="148"/>
      <c r="G94" s="148"/>
      <c r="H94" s="148"/>
      <c r="I94" s="148"/>
      <c r="J94" s="148"/>
      <c r="K94" s="148"/>
      <c r="L94" s="148"/>
      <c r="M94" s="148"/>
      <c r="N94" s="148"/>
      <c r="O94" s="148"/>
      <c r="P94" s="148"/>
      <c r="Q94" s="148"/>
      <c r="R94" s="148"/>
      <c r="S94" s="148"/>
      <c r="T94" s="148"/>
      <c r="U94" s="148"/>
      <c r="V94" s="148"/>
      <c r="W94" s="148"/>
      <c r="X94" s="148"/>
      <c r="Y94" s="148"/>
      <c r="Z94" s="148"/>
      <c r="AA94" s="148"/>
      <c r="AB94" s="148"/>
      <c r="AC94" s="148"/>
      <c r="AD94" s="148"/>
      <c r="AE94" s="148"/>
      <c r="AF94" s="148"/>
      <c r="AG94" s="148"/>
      <c r="AH94" s="248">
        <f t="shared" si="12"/>
        <v>0</v>
      </c>
    </row>
    <row r="95" spans="1:34" outlineLevel="1" x14ac:dyDescent="0.2">
      <c r="B95" s="316" t="str">
        <f>assumptions!A25</f>
        <v>[Additional Field - Specify] (Amortizing)</v>
      </c>
      <c r="D95" s="245">
        <f>assumptions!B25</f>
        <v>0</v>
      </c>
      <c r="E95" s="148"/>
      <c r="F95" s="148"/>
      <c r="G95" s="148"/>
      <c r="H95" s="148"/>
      <c r="I95" s="148"/>
      <c r="J95" s="148"/>
      <c r="K95" s="148"/>
      <c r="L95" s="148"/>
      <c r="M95" s="148"/>
      <c r="N95" s="148"/>
      <c r="O95" s="148"/>
      <c r="P95" s="148"/>
      <c r="Q95" s="148"/>
      <c r="R95" s="148"/>
      <c r="S95" s="148"/>
      <c r="T95" s="148"/>
      <c r="U95" s="148"/>
      <c r="V95" s="148"/>
      <c r="W95" s="148"/>
      <c r="X95" s="148"/>
      <c r="Y95" s="148"/>
      <c r="Z95" s="148"/>
      <c r="AA95" s="148"/>
      <c r="AB95" s="148"/>
      <c r="AC95" s="148"/>
      <c r="AD95" s="148"/>
      <c r="AE95" s="148"/>
      <c r="AF95" s="148"/>
      <c r="AG95" s="148"/>
      <c r="AH95" s="248">
        <f t="shared" si="12"/>
        <v>0</v>
      </c>
    </row>
    <row r="96" spans="1:34" outlineLevel="1" x14ac:dyDescent="0.2">
      <c r="B96" s="316" t="str">
        <f>assumptions!A26</f>
        <v>[Additional Field - Specify] (Amortizing)</v>
      </c>
      <c r="D96" s="245">
        <f>assumptions!B26</f>
        <v>0</v>
      </c>
      <c r="E96" s="148"/>
      <c r="F96" s="148"/>
      <c r="G96" s="148"/>
      <c r="H96" s="148"/>
      <c r="I96" s="148"/>
      <c r="J96" s="148"/>
      <c r="K96" s="148"/>
      <c r="L96" s="148"/>
      <c r="M96" s="148"/>
      <c r="N96" s="148"/>
      <c r="O96" s="148"/>
      <c r="P96" s="148"/>
      <c r="Q96" s="148"/>
      <c r="R96" s="148"/>
      <c r="S96" s="148"/>
      <c r="T96" s="148"/>
      <c r="U96" s="148"/>
      <c r="V96" s="148"/>
      <c r="W96" s="148"/>
      <c r="X96" s="148"/>
      <c r="Y96" s="148"/>
      <c r="Z96" s="148"/>
      <c r="AA96" s="148"/>
      <c r="AB96" s="148"/>
      <c r="AC96" s="148"/>
      <c r="AD96" s="148"/>
      <c r="AE96" s="148"/>
      <c r="AF96" s="148"/>
      <c r="AG96" s="148"/>
      <c r="AH96" s="248">
        <f t="shared" si="12"/>
        <v>0</v>
      </c>
    </row>
    <row r="97" spans="2:34" x14ac:dyDescent="0.2">
      <c r="B97" s="2" t="str">
        <f>assumptions!A22</f>
        <v>Housing Investments for Vermont (HIVE)</v>
      </c>
      <c r="D97" s="245">
        <f>assumptions!B22</f>
        <v>0</v>
      </c>
      <c r="E97" s="148"/>
      <c r="F97" s="148"/>
      <c r="G97" s="148"/>
      <c r="H97" s="148"/>
      <c r="I97" s="148"/>
      <c r="J97" s="148"/>
      <c r="K97" s="148"/>
      <c r="L97" s="148"/>
      <c r="M97" s="148"/>
      <c r="N97" s="148"/>
      <c r="O97" s="148"/>
      <c r="P97" s="148"/>
      <c r="Q97" s="148"/>
      <c r="R97" s="148"/>
      <c r="S97" s="148"/>
      <c r="T97" s="148"/>
      <c r="U97" s="148"/>
      <c r="V97" s="148"/>
      <c r="W97" s="148"/>
      <c r="X97" s="148"/>
      <c r="Y97" s="148"/>
      <c r="Z97" s="148"/>
      <c r="AA97" s="148"/>
      <c r="AB97" s="148"/>
      <c r="AC97" s="148"/>
      <c r="AD97" s="148"/>
      <c r="AE97" s="148"/>
      <c r="AF97" s="148"/>
      <c r="AG97" s="148"/>
      <c r="AH97" s="248">
        <f t="shared" si="12"/>
        <v>0</v>
      </c>
    </row>
    <row r="98" spans="2:34" x14ac:dyDescent="0.2">
      <c r="B98" s="2" t="str">
        <f>assumptions!A27</f>
        <v>AHP</v>
      </c>
      <c r="D98" s="245">
        <f>assumptions!B27</f>
        <v>0</v>
      </c>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248">
        <f t="shared" si="12"/>
        <v>0</v>
      </c>
    </row>
    <row r="99" spans="2:34" x14ac:dyDescent="0.2">
      <c r="B99" s="2" t="str">
        <f>assumptions!A28</f>
        <v>HOME</v>
      </c>
      <c r="D99" s="245">
        <f>assumptions!B28</f>
        <v>0</v>
      </c>
      <c r="E99" s="147"/>
      <c r="F99" s="147"/>
      <c r="G99" s="147"/>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248">
        <f t="shared" si="12"/>
        <v>0</v>
      </c>
    </row>
    <row r="100" spans="2:34" x14ac:dyDescent="0.2">
      <c r="B100" s="2" t="str">
        <f>assumptions!A29</f>
        <v>NHTF</v>
      </c>
      <c r="D100" s="245">
        <f>assumptions!B29</f>
        <v>0</v>
      </c>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248">
        <f t="shared" si="12"/>
        <v>0</v>
      </c>
    </row>
    <row r="101" spans="2:34" x14ac:dyDescent="0.2">
      <c r="B101" s="2" t="str">
        <f>assumptions!A30</f>
        <v>VCDP</v>
      </c>
      <c r="D101" s="245">
        <f>assumptions!B30</f>
        <v>0</v>
      </c>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248">
        <f t="shared" si="12"/>
        <v>0</v>
      </c>
    </row>
    <row r="102" spans="2:34" x14ac:dyDescent="0.2">
      <c r="B102" s="2" t="str">
        <f>assumptions!A31</f>
        <v>VHCB</v>
      </c>
      <c r="D102" s="245">
        <f>assumptions!B31</f>
        <v>0</v>
      </c>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c r="AA102" s="147"/>
      <c r="AB102" s="147"/>
      <c r="AC102" s="147"/>
      <c r="AD102" s="147"/>
      <c r="AE102" s="147"/>
      <c r="AF102" s="147"/>
      <c r="AG102" s="147"/>
      <c r="AH102" s="248">
        <f t="shared" si="12"/>
        <v>0</v>
      </c>
    </row>
    <row r="103" spans="2:34" x14ac:dyDescent="0.2">
      <c r="B103" s="2" t="str">
        <f>assumptions!A32</f>
        <v>VHCB Feasibility</v>
      </c>
      <c r="D103" s="245">
        <f>assumptions!B32</f>
        <v>0</v>
      </c>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7"/>
      <c r="AF103" s="147"/>
      <c r="AG103" s="147"/>
      <c r="AH103" s="248">
        <f t="shared" si="12"/>
        <v>0</v>
      </c>
    </row>
    <row r="104" spans="2:34" x14ac:dyDescent="0.2">
      <c r="B104" s="2" t="str">
        <f>assumptions!A33</f>
        <v>Energy Incentives</v>
      </c>
      <c r="D104" s="245">
        <f>assumptions!B33</f>
        <v>0</v>
      </c>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248">
        <f t="shared" si="12"/>
        <v>0</v>
      </c>
    </row>
    <row r="105" spans="2:34" x14ac:dyDescent="0.2">
      <c r="B105" s="2" t="str">
        <f>assumptions!A34</f>
        <v>Deferred Developer Fee</v>
      </c>
      <c r="D105" s="245">
        <f>assumptions!B34</f>
        <v>0</v>
      </c>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c r="AA105" s="147"/>
      <c r="AB105" s="147"/>
      <c r="AC105" s="147"/>
      <c r="AD105" s="147"/>
      <c r="AE105" s="147"/>
      <c r="AF105" s="147"/>
      <c r="AG105" s="147"/>
      <c r="AH105" s="248">
        <f t="shared" si="12"/>
        <v>0</v>
      </c>
    </row>
    <row r="106" spans="2:34" outlineLevel="1" x14ac:dyDescent="0.2">
      <c r="B106" s="316" t="str">
        <f>assumptions!A35</f>
        <v>[Additional Field - Specify] (Non-Amortizing)</v>
      </c>
      <c r="D106" s="245">
        <f>assumptions!B35</f>
        <v>0</v>
      </c>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248">
        <f t="shared" si="12"/>
        <v>0</v>
      </c>
    </row>
    <row r="107" spans="2:34" outlineLevel="1" x14ac:dyDescent="0.2">
      <c r="B107" s="316" t="str">
        <f>assumptions!A36</f>
        <v>[Additional Field - Specify] (Non-Amortizing)</v>
      </c>
      <c r="D107" s="245">
        <f>assumptions!B36</f>
        <v>0</v>
      </c>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248">
        <f t="shared" si="12"/>
        <v>0</v>
      </c>
    </row>
    <row r="108" spans="2:34" outlineLevel="1" x14ac:dyDescent="0.2">
      <c r="B108" s="316" t="str">
        <f>assumptions!A37</f>
        <v>[Additional Field - Specify] (Non-Amortizing)</v>
      </c>
      <c r="D108" s="245">
        <f>assumptions!B37</f>
        <v>0</v>
      </c>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248">
        <f t="shared" si="12"/>
        <v>0</v>
      </c>
    </row>
    <row r="109" spans="2:34" outlineLevel="1" x14ac:dyDescent="0.2">
      <c r="B109" s="316" t="str">
        <f>assumptions!A38</f>
        <v>[Additional Field - Specify] (Non-Amortizing)</v>
      </c>
      <c r="D109" s="245">
        <f>assumptions!B38</f>
        <v>0</v>
      </c>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248">
        <f t="shared" si="12"/>
        <v>0</v>
      </c>
    </row>
    <row r="110" spans="2:34" outlineLevel="1" x14ac:dyDescent="0.2">
      <c r="B110" s="316" t="str">
        <f>assumptions!A39</f>
        <v>[Additional Field - Specify] (Non-Amortizing)</v>
      </c>
      <c r="D110" s="245">
        <f>assumptions!B39</f>
        <v>0</v>
      </c>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248">
        <f t="shared" si="12"/>
        <v>0</v>
      </c>
    </row>
    <row r="111" spans="2:34" outlineLevel="1" x14ac:dyDescent="0.2">
      <c r="B111" s="316" t="str">
        <f>assumptions!A40</f>
        <v>[Additional Field - Specify] (Non-Amortizing)</v>
      </c>
      <c r="D111" s="245">
        <f>assumptions!B40</f>
        <v>0</v>
      </c>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c r="AG111" s="147"/>
      <c r="AH111" s="248">
        <f t="shared" si="12"/>
        <v>0</v>
      </c>
    </row>
    <row r="112" spans="2:34" outlineLevel="1" x14ac:dyDescent="0.2">
      <c r="B112" s="316" t="str">
        <f>assumptions!A41</f>
        <v>[Additional Field - Specify] (Non-Amortizing)</v>
      </c>
      <c r="D112" s="245">
        <f>assumptions!B41</f>
        <v>0</v>
      </c>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c r="AG112" s="147"/>
      <c r="AH112" s="248">
        <f t="shared" si="12"/>
        <v>0</v>
      </c>
    </row>
    <row r="113" spans="2:34" outlineLevel="1" x14ac:dyDescent="0.2">
      <c r="B113" s="316" t="str">
        <f>assumptions!A42</f>
        <v>[Additional Field - Specify] (Non-Amortizing)</v>
      </c>
      <c r="D113" s="245">
        <f>assumptions!B42</f>
        <v>0</v>
      </c>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c r="AA113" s="147"/>
      <c r="AB113" s="147"/>
      <c r="AC113" s="147"/>
      <c r="AD113" s="147"/>
      <c r="AE113" s="147"/>
      <c r="AF113" s="147"/>
      <c r="AG113" s="147"/>
      <c r="AH113" s="248">
        <f t="shared" si="12"/>
        <v>0</v>
      </c>
    </row>
    <row r="114" spans="2:34" outlineLevel="1" x14ac:dyDescent="0.2">
      <c r="B114" s="316" t="str">
        <f>assumptions!A43</f>
        <v>[Additional Field - Specify] (Non-Amortizing)</v>
      </c>
      <c r="D114" s="245">
        <f>assumptions!B43</f>
        <v>0</v>
      </c>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c r="AG114" s="147"/>
      <c r="AH114" s="248">
        <f t="shared" si="12"/>
        <v>0</v>
      </c>
    </row>
    <row r="115" spans="2:34" outlineLevel="1" x14ac:dyDescent="0.2">
      <c r="B115" s="316" t="str">
        <f>assumptions!A44</f>
        <v>[Additional Field - Specify] (Non-Amortizing)</v>
      </c>
      <c r="D115" s="245">
        <f>assumptions!B44</f>
        <v>0</v>
      </c>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c r="AG115" s="147"/>
      <c r="AH115" s="248">
        <f t="shared" si="12"/>
        <v>0</v>
      </c>
    </row>
    <row r="116" spans="2:34" x14ac:dyDescent="0.2">
      <c r="B116" s="2" t="str">
        <f>assumptions!A45</f>
        <v>General Partner Equity</v>
      </c>
      <c r="D116" s="245">
        <f>assumptions!B45</f>
        <v>0</v>
      </c>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c r="AG116" s="147"/>
      <c r="AH116" s="248">
        <f t="shared" si="12"/>
        <v>0</v>
      </c>
    </row>
    <row r="117" spans="2:34" x14ac:dyDescent="0.2">
      <c r="B117" s="2" t="str">
        <f>assumptions!A46</f>
        <v>Existing Cash Accounts</v>
      </c>
      <c r="D117" s="245">
        <f>assumptions!B46</f>
        <v>0</v>
      </c>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248">
        <f t="shared" si="12"/>
        <v>0</v>
      </c>
    </row>
    <row r="118" spans="2:34" x14ac:dyDescent="0.2">
      <c r="B118" s="2" t="str">
        <f>assumptions!A47</f>
        <v>Investment Tax Credit</v>
      </c>
      <c r="D118" s="245">
        <f>assumptions!B47</f>
        <v>0</v>
      </c>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c r="AG118" s="147"/>
      <c r="AH118" s="248">
        <f t="shared" si="12"/>
        <v>0</v>
      </c>
    </row>
    <row r="119" spans="2:34" x14ac:dyDescent="0.2">
      <c r="B119" s="2" t="str">
        <f>assumptions!A48</f>
        <v>Historic Credit Equity</v>
      </c>
      <c r="D119" s="245">
        <f>assumptions!B48</f>
        <v>0</v>
      </c>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c r="AG119" s="147"/>
      <c r="AH119" s="248">
        <f t="shared" si="12"/>
        <v>0</v>
      </c>
    </row>
    <row r="120" spans="2:34" x14ac:dyDescent="0.2">
      <c r="B120" s="2" t="str">
        <f>assumptions!A49</f>
        <v>VHFA - Federal Tax Credit Equity</v>
      </c>
      <c r="D120" s="245">
        <f>assumptions!B49</f>
        <v>0</v>
      </c>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c r="AG120" s="147"/>
      <c r="AH120" s="248">
        <f t="shared" si="12"/>
        <v>0</v>
      </c>
    </row>
    <row r="121" spans="2:34" x14ac:dyDescent="0.2">
      <c r="B121" s="2" t="str">
        <f>assumptions!A50</f>
        <v>VHFA - VT State Tax Credit Equity</v>
      </c>
      <c r="D121" s="245">
        <f>assumptions!B50</f>
        <v>0</v>
      </c>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c r="AG121" s="147"/>
      <c r="AH121" s="248">
        <f t="shared" si="12"/>
        <v>0</v>
      </c>
    </row>
    <row r="122" spans="2:34" outlineLevel="1" x14ac:dyDescent="0.2">
      <c r="B122" s="316" t="str">
        <f>assumptions!A51</f>
        <v>[Additional Field - Specify]</v>
      </c>
      <c r="D122" s="245">
        <f>assumptions!B51</f>
        <v>0</v>
      </c>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248">
        <f t="shared" si="12"/>
        <v>0</v>
      </c>
    </row>
    <row r="123" spans="2:34" outlineLevel="1" x14ac:dyDescent="0.2">
      <c r="B123" s="316" t="str">
        <f>assumptions!A52</f>
        <v>[Additional Field - Specify]</v>
      </c>
      <c r="D123" s="245">
        <f>assumptions!B52</f>
        <v>0</v>
      </c>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248">
        <f t="shared" si="12"/>
        <v>0</v>
      </c>
    </row>
    <row r="124" spans="2:34" outlineLevel="1" x14ac:dyDescent="0.2">
      <c r="B124" s="316" t="str">
        <f>assumptions!A53</f>
        <v>[Additional Field - Specify]</v>
      </c>
      <c r="D124" s="245">
        <f>assumptions!B53</f>
        <v>0</v>
      </c>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248">
        <f t="shared" si="12"/>
        <v>0</v>
      </c>
    </row>
    <row r="125" spans="2:34" outlineLevel="1" x14ac:dyDescent="0.2">
      <c r="B125" s="316" t="str">
        <f>assumptions!A54</f>
        <v>[Additional Field - Specify]</v>
      </c>
      <c r="D125" s="245">
        <f>assumptions!B54</f>
        <v>0</v>
      </c>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248">
        <f t="shared" si="12"/>
        <v>0</v>
      </c>
    </row>
    <row r="126" spans="2:34" outlineLevel="1" x14ac:dyDescent="0.2">
      <c r="B126" s="316" t="str">
        <f>assumptions!A55</f>
        <v>[Additional Field - Specify]</v>
      </c>
      <c r="D126" s="245">
        <f>assumptions!B55</f>
        <v>0</v>
      </c>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c r="AG126" s="147"/>
      <c r="AH126" s="248">
        <f t="shared" si="12"/>
        <v>0</v>
      </c>
    </row>
    <row r="127" spans="2:34" x14ac:dyDescent="0.2">
      <c r="B127" s="13" t="s">
        <v>435</v>
      </c>
      <c r="D127" s="247">
        <f>SUM(D92:D126)</f>
        <v>0</v>
      </c>
      <c r="E127" s="247">
        <f t="shared" ref="E127:AB127" si="13">SUM(E92:E122)</f>
        <v>0</v>
      </c>
      <c r="F127" s="247">
        <f>SUM(F92:F122)</f>
        <v>0</v>
      </c>
      <c r="G127" s="247">
        <f t="shared" si="13"/>
        <v>0</v>
      </c>
      <c r="H127" s="247">
        <f t="shared" si="13"/>
        <v>0</v>
      </c>
      <c r="I127" s="247">
        <f t="shared" si="13"/>
        <v>0</v>
      </c>
      <c r="J127" s="247">
        <f t="shared" si="13"/>
        <v>0</v>
      </c>
      <c r="K127" s="247">
        <f t="shared" si="13"/>
        <v>0</v>
      </c>
      <c r="L127" s="247">
        <f t="shared" si="13"/>
        <v>0</v>
      </c>
      <c r="M127" s="247">
        <f t="shared" si="13"/>
        <v>0</v>
      </c>
      <c r="N127" s="247">
        <f t="shared" si="13"/>
        <v>0</v>
      </c>
      <c r="O127" s="247">
        <f t="shared" si="13"/>
        <v>0</v>
      </c>
      <c r="P127" s="247">
        <f t="shared" si="13"/>
        <v>0</v>
      </c>
      <c r="Q127" s="247">
        <f t="shared" si="13"/>
        <v>0</v>
      </c>
      <c r="R127" s="247">
        <f t="shared" si="13"/>
        <v>0</v>
      </c>
      <c r="S127" s="247">
        <f t="shared" si="13"/>
        <v>0</v>
      </c>
      <c r="T127" s="247">
        <f t="shared" si="13"/>
        <v>0</v>
      </c>
      <c r="U127" s="247">
        <f t="shared" si="13"/>
        <v>0</v>
      </c>
      <c r="V127" s="247">
        <f t="shared" si="13"/>
        <v>0</v>
      </c>
      <c r="W127" s="247">
        <f t="shared" si="13"/>
        <v>0</v>
      </c>
      <c r="X127" s="247">
        <f t="shared" si="13"/>
        <v>0</v>
      </c>
      <c r="Y127" s="247">
        <f t="shared" si="13"/>
        <v>0</v>
      </c>
      <c r="Z127" s="247">
        <f t="shared" si="13"/>
        <v>0</v>
      </c>
      <c r="AA127" s="247">
        <f t="shared" si="13"/>
        <v>0</v>
      </c>
      <c r="AB127" s="247">
        <f t="shared" si="13"/>
        <v>0</v>
      </c>
      <c r="AC127" s="247">
        <f>SUM(AC92:AC122)</f>
        <v>0</v>
      </c>
      <c r="AD127" s="247">
        <f t="shared" ref="AD127:AG127" si="14">SUM(AD92:AD122)</f>
        <v>0</v>
      </c>
      <c r="AE127" s="247">
        <f t="shared" si="14"/>
        <v>0</v>
      </c>
      <c r="AF127" s="247">
        <f t="shared" si="14"/>
        <v>0</v>
      </c>
      <c r="AG127" s="247">
        <f t="shared" si="14"/>
        <v>0</v>
      </c>
      <c r="AH127" s="149"/>
    </row>
    <row r="128" spans="2:34" x14ac:dyDescent="0.2">
      <c r="B128" s="13"/>
      <c r="D128" s="150"/>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49"/>
    </row>
    <row r="129" spans="2:34" x14ac:dyDescent="0.2">
      <c r="B129" s="13" t="s">
        <v>436</v>
      </c>
      <c r="D129" s="246">
        <f>assumptions!B67</f>
        <v>0</v>
      </c>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c r="AG129" s="150"/>
      <c r="AH129" s="152"/>
    </row>
    <row r="130" spans="2:34" ht="15.75" x14ac:dyDescent="0.25">
      <c r="B130" s="13" t="s">
        <v>437</v>
      </c>
      <c r="C130" s="153"/>
      <c r="D130" s="153"/>
      <c r="E130" s="153">
        <v>0</v>
      </c>
      <c r="F130" s="153">
        <f>E133</f>
        <v>0</v>
      </c>
      <c r="G130" s="153">
        <f t="shared" ref="G130:R130" si="15">F133</f>
        <v>0</v>
      </c>
      <c r="H130" s="153">
        <f t="shared" si="15"/>
        <v>0</v>
      </c>
      <c r="I130" s="153">
        <f t="shared" si="15"/>
        <v>0</v>
      </c>
      <c r="J130" s="153">
        <f t="shared" si="15"/>
        <v>0</v>
      </c>
      <c r="K130" s="153">
        <f t="shared" si="15"/>
        <v>0</v>
      </c>
      <c r="L130" s="153">
        <f t="shared" si="15"/>
        <v>0</v>
      </c>
      <c r="M130" s="153">
        <f t="shared" si="15"/>
        <v>0</v>
      </c>
      <c r="N130" s="153">
        <f t="shared" si="15"/>
        <v>0</v>
      </c>
      <c r="O130" s="153">
        <f t="shared" si="15"/>
        <v>0</v>
      </c>
      <c r="P130" s="153">
        <f t="shared" si="15"/>
        <v>0</v>
      </c>
      <c r="Q130" s="153">
        <f t="shared" si="15"/>
        <v>0</v>
      </c>
      <c r="R130" s="153">
        <f t="shared" si="15"/>
        <v>0</v>
      </c>
      <c r="S130" s="153">
        <f>R133</f>
        <v>0</v>
      </c>
      <c r="T130" s="95">
        <f t="shared" ref="T130:AB130" si="16">S133</f>
        <v>0</v>
      </c>
      <c r="U130" s="95">
        <f>T133</f>
        <v>0</v>
      </c>
      <c r="V130" s="95">
        <f t="shared" si="16"/>
        <v>0</v>
      </c>
      <c r="W130" s="95">
        <f t="shared" si="16"/>
        <v>0</v>
      </c>
      <c r="X130" s="95">
        <f t="shared" si="16"/>
        <v>0</v>
      </c>
      <c r="Y130" s="95">
        <f t="shared" si="16"/>
        <v>0</v>
      </c>
      <c r="Z130" s="95">
        <f t="shared" si="16"/>
        <v>0</v>
      </c>
      <c r="AA130" s="95">
        <f t="shared" si="16"/>
        <v>0</v>
      </c>
      <c r="AB130" s="95">
        <f t="shared" si="16"/>
        <v>0</v>
      </c>
      <c r="AC130" s="95">
        <f>AB133</f>
        <v>0</v>
      </c>
      <c r="AD130" s="95">
        <f t="shared" ref="AD130:AG130" si="17">AC133</f>
        <v>0</v>
      </c>
      <c r="AE130" s="95">
        <f t="shared" si="17"/>
        <v>0</v>
      </c>
      <c r="AF130" s="95">
        <f t="shared" si="17"/>
        <v>0</v>
      </c>
      <c r="AG130" s="95">
        <f t="shared" si="17"/>
        <v>0</v>
      </c>
      <c r="AH130" s="152"/>
    </row>
    <row r="131" spans="2:34" ht="15.75" x14ac:dyDescent="0.25">
      <c r="B131" s="13" t="s">
        <v>438</v>
      </c>
      <c r="C131" s="153"/>
      <c r="D131" s="153"/>
      <c r="E131" s="153">
        <f t="shared" ref="E131:AG131" si="18">E127-E89</f>
        <v>0</v>
      </c>
      <c r="F131" s="153">
        <f t="shared" si="18"/>
        <v>0</v>
      </c>
      <c r="G131" s="153">
        <f t="shared" si="18"/>
        <v>0</v>
      </c>
      <c r="H131" s="153">
        <f t="shared" si="18"/>
        <v>0</v>
      </c>
      <c r="I131" s="153">
        <f t="shared" si="18"/>
        <v>0</v>
      </c>
      <c r="J131" s="153">
        <f t="shared" si="18"/>
        <v>0</v>
      </c>
      <c r="K131" s="153">
        <f t="shared" si="18"/>
        <v>0</v>
      </c>
      <c r="L131" s="153">
        <f t="shared" si="18"/>
        <v>0</v>
      </c>
      <c r="M131" s="153">
        <f t="shared" si="18"/>
        <v>0</v>
      </c>
      <c r="N131" s="153">
        <f t="shared" si="18"/>
        <v>0</v>
      </c>
      <c r="O131" s="153">
        <f t="shared" si="18"/>
        <v>0</v>
      </c>
      <c r="P131" s="153">
        <f t="shared" si="18"/>
        <v>0</v>
      </c>
      <c r="Q131" s="153">
        <f t="shared" si="18"/>
        <v>0</v>
      </c>
      <c r="R131" s="153">
        <f t="shared" si="18"/>
        <v>0</v>
      </c>
      <c r="S131" s="153">
        <f t="shared" si="18"/>
        <v>0</v>
      </c>
      <c r="T131" s="95">
        <f t="shared" si="18"/>
        <v>0</v>
      </c>
      <c r="U131" s="95">
        <f t="shared" si="18"/>
        <v>0</v>
      </c>
      <c r="V131" s="95">
        <f t="shared" si="18"/>
        <v>0</v>
      </c>
      <c r="W131" s="95">
        <f t="shared" si="18"/>
        <v>0</v>
      </c>
      <c r="X131" s="95">
        <f t="shared" si="18"/>
        <v>0</v>
      </c>
      <c r="Y131" s="95">
        <f t="shared" si="18"/>
        <v>0</v>
      </c>
      <c r="Z131" s="95">
        <f t="shared" si="18"/>
        <v>0</v>
      </c>
      <c r="AA131" s="95">
        <f t="shared" si="18"/>
        <v>0</v>
      </c>
      <c r="AB131" s="95">
        <f t="shared" si="18"/>
        <v>0</v>
      </c>
      <c r="AC131" s="95">
        <f t="shared" si="18"/>
        <v>0</v>
      </c>
      <c r="AD131" s="95">
        <f t="shared" si="18"/>
        <v>0</v>
      </c>
      <c r="AE131" s="95">
        <f t="shared" si="18"/>
        <v>0</v>
      </c>
      <c r="AF131" s="95">
        <f t="shared" si="18"/>
        <v>0</v>
      </c>
      <c r="AG131" s="95">
        <f t="shared" si="18"/>
        <v>0</v>
      </c>
      <c r="AH131" s="152"/>
    </row>
    <row r="132" spans="2:34" ht="15.75" x14ac:dyDescent="0.25">
      <c r="B132" s="13" t="s">
        <v>439</v>
      </c>
      <c r="C132" s="153"/>
      <c r="D132" s="153"/>
      <c r="E132" s="153">
        <f>E131*-1</f>
        <v>0</v>
      </c>
      <c r="F132" s="153">
        <f t="shared" ref="F132:R132" si="19">F131*-1</f>
        <v>0</v>
      </c>
      <c r="G132" s="153">
        <f t="shared" si="19"/>
        <v>0</v>
      </c>
      <c r="H132" s="153">
        <f t="shared" si="19"/>
        <v>0</v>
      </c>
      <c r="I132" s="153">
        <f t="shared" si="19"/>
        <v>0</v>
      </c>
      <c r="J132" s="153">
        <f t="shared" si="19"/>
        <v>0</v>
      </c>
      <c r="K132" s="153">
        <f t="shared" si="19"/>
        <v>0</v>
      </c>
      <c r="L132" s="153">
        <f t="shared" si="19"/>
        <v>0</v>
      </c>
      <c r="M132" s="153">
        <f t="shared" si="19"/>
        <v>0</v>
      </c>
      <c r="N132" s="153">
        <f t="shared" si="19"/>
        <v>0</v>
      </c>
      <c r="O132" s="153">
        <f t="shared" si="19"/>
        <v>0</v>
      </c>
      <c r="P132" s="153">
        <f t="shared" si="19"/>
        <v>0</v>
      </c>
      <c r="Q132" s="153">
        <f t="shared" si="19"/>
        <v>0</v>
      </c>
      <c r="R132" s="153">
        <f t="shared" si="19"/>
        <v>0</v>
      </c>
      <c r="S132" s="153">
        <f>S131*-1</f>
        <v>0</v>
      </c>
      <c r="T132" s="95">
        <f t="shared" ref="T132:AC132" si="20">T131*-1</f>
        <v>0</v>
      </c>
      <c r="U132" s="95">
        <f t="shared" si="20"/>
        <v>0</v>
      </c>
      <c r="V132" s="95">
        <f t="shared" si="20"/>
        <v>0</v>
      </c>
      <c r="W132" s="95">
        <f t="shared" si="20"/>
        <v>0</v>
      </c>
      <c r="X132" s="95">
        <f t="shared" si="20"/>
        <v>0</v>
      </c>
      <c r="Y132" s="95">
        <f t="shared" si="20"/>
        <v>0</v>
      </c>
      <c r="Z132" s="95">
        <f t="shared" si="20"/>
        <v>0</v>
      </c>
      <c r="AA132" s="95">
        <f t="shared" si="20"/>
        <v>0</v>
      </c>
      <c r="AB132" s="95">
        <f t="shared" si="20"/>
        <v>0</v>
      </c>
      <c r="AC132" s="95">
        <f t="shared" si="20"/>
        <v>0</v>
      </c>
      <c r="AD132" s="95">
        <f t="shared" ref="AD132:AG132" si="21">AD131*-1</f>
        <v>0</v>
      </c>
      <c r="AE132" s="95">
        <f t="shared" si="21"/>
        <v>0</v>
      </c>
      <c r="AF132" s="95">
        <f t="shared" si="21"/>
        <v>0</v>
      </c>
      <c r="AG132" s="95">
        <f t="shared" si="21"/>
        <v>0</v>
      </c>
      <c r="AH132" s="152"/>
    </row>
    <row r="133" spans="2:34" ht="15.75" x14ac:dyDescent="0.25">
      <c r="B133" s="13" t="s">
        <v>440</v>
      </c>
      <c r="C133" s="153"/>
      <c r="D133" s="153"/>
      <c r="E133" s="153">
        <f>SUM(E130+E132)</f>
        <v>0</v>
      </c>
      <c r="F133" s="153">
        <f t="shared" ref="F133:M133" si="22">SUM(F130+F132)</f>
        <v>0</v>
      </c>
      <c r="G133" s="153">
        <f t="shared" si="22"/>
        <v>0</v>
      </c>
      <c r="H133" s="153">
        <f t="shared" si="22"/>
        <v>0</v>
      </c>
      <c r="I133" s="153">
        <f t="shared" si="22"/>
        <v>0</v>
      </c>
      <c r="J133" s="153">
        <f t="shared" si="22"/>
        <v>0</v>
      </c>
      <c r="K133" s="153">
        <f t="shared" si="22"/>
        <v>0</v>
      </c>
      <c r="L133" s="153">
        <f t="shared" si="22"/>
        <v>0</v>
      </c>
      <c r="M133" s="153">
        <f t="shared" si="22"/>
        <v>0</v>
      </c>
      <c r="N133" s="153">
        <f t="shared" ref="N133:Q133" si="23">SUM(N130+N132)</f>
        <v>0</v>
      </c>
      <c r="O133" s="153">
        <f t="shared" si="23"/>
        <v>0</v>
      </c>
      <c r="P133" s="153">
        <f t="shared" si="23"/>
        <v>0</v>
      </c>
      <c r="Q133" s="153">
        <f t="shared" si="23"/>
        <v>0</v>
      </c>
      <c r="R133" s="153">
        <f>SUM(R130+R132)</f>
        <v>0</v>
      </c>
      <c r="S133" s="153">
        <f>SUM(S130+S132)</f>
        <v>0</v>
      </c>
      <c r="T133" s="95">
        <f t="shared" ref="T133:AC133" si="24">SUM(T130+T132)</f>
        <v>0</v>
      </c>
      <c r="U133" s="95">
        <f t="shared" si="24"/>
        <v>0</v>
      </c>
      <c r="V133" s="95">
        <f t="shared" si="24"/>
        <v>0</v>
      </c>
      <c r="W133" s="95">
        <f t="shared" si="24"/>
        <v>0</v>
      </c>
      <c r="X133" s="95">
        <f t="shared" si="24"/>
        <v>0</v>
      </c>
      <c r="Y133" s="95">
        <f t="shared" si="24"/>
        <v>0</v>
      </c>
      <c r="Z133" s="95">
        <f t="shared" si="24"/>
        <v>0</v>
      </c>
      <c r="AA133" s="95">
        <f t="shared" si="24"/>
        <v>0</v>
      </c>
      <c r="AB133" s="95">
        <f t="shared" si="24"/>
        <v>0</v>
      </c>
      <c r="AC133" s="95">
        <f t="shared" si="24"/>
        <v>0</v>
      </c>
      <c r="AD133" s="95">
        <f t="shared" ref="AD133:AG133" si="25">SUM(AD130+AD132)</f>
        <v>0</v>
      </c>
      <c r="AE133" s="95">
        <f t="shared" si="25"/>
        <v>0</v>
      </c>
      <c r="AF133" s="95">
        <f t="shared" si="25"/>
        <v>0</v>
      </c>
      <c r="AG133" s="95">
        <f t="shared" si="25"/>
        <v>0</v>
      </c>
      <c r="AH133" s="152"/>
    </row>
    <row r="134" spans="2:34" ht="15.75" x14ac:dyDescent="0.25">
      <c r="B134" s="13"/>
      <c r="C134" s="153"/>
      <c r="D134" s="153"/>
      <c r="E134" s="153"/>
      <c r="F134" s="153"/>
      <c r="G134" s="153"/>
      <c r="H134" s="153"/>
      <c r="I134" s="153"/>
      <c r="J134" s="153"/>
      <c r="K134" s="153"/>
      <c r="L134" s="153"/>
      <c r="M134" s="153"/>
      <c r="N134" s="153"/>
      <c r="O134" s="153"/>
      <c r="P134" s="153"/>
      <c r="Q134" s="153"/>
      <c r="R134" s="153"/>
      <c r="S134" s="153"/>
      <c r="T134" s="153"/>
      <c r="U134" s="153"/>
      <c r="V134" s="153"/>
      <c r="W134" s="153"/>
      <c r="X134" s="153"/>
      <c r="Y134" s="153"/>
      <c r="Z134" s="153"/>
      <c r="AA134" s="153"/>
      <c r="AB134" s="153"/>
      <c r="AH134" s="152"/>
    </row>
    <row r="135" spans="2:34" ht="15.75" x14ac:dyDescent="0.25">
      <c r="B135" s="13" t="s">
        <v>441</v>
      </c>
      <c r="C135" s="153"/>
      <c r="D135" s="153"/>
      <c r="E135" s="95">
        <f>D135+E132</f>
        <v>0</v>
      </c>
      <c r="F135" s="95">
        <f>E135+F132</f>
        <v>0</v>
      </c>
      <c r="G135" s="95">
        <f t="shared" ref="G135:Q135" si="26">F135+G132</f>
        <v>0</v>
      </c>
      <c r="H135" s="95">
        <f t="shared" si="26"/>
        <v>0</v>
      </c>
      <c r="I135" s="95">
        <f t="shared" si="26"/>
        <v>0</v>
      </c>
      <c r="J135" s="95">
        <f t="shared" si="26"/>
        <v>0</v>
      </c>
      <c r="K135" s="95">
        <f t="shared" si="26"/>
        <v>0</v>
      </c>
      <c r="L135" s="95">
        <f t="shared" si="26"/>
        <v>0</v>
      </c>
      <c r="M135" s="95">
        <f t="shared" si="26"/>
        <v>0</v>
      </c>
      <c r="N135" s="95">
        <f t="shared" si="26"/>
        <v>0</v>
      </c>
      <c r="O135" s="95">
        <f t="shared" si="26"/>
        <v>0</v>
      </c>
      <c r="P135" s="95">
        <f t="shared" si="26"/>
        <v>0</v>
      </c>
      <c r="Q135" s="95">
        <f t="shared" si="26"/>
        <v>0</v>
      </c>
      <c r="R135" s="95">
        <f>Q135+R132</f>
        <v>0</v>
      </c>
      <c r="S135" s="95">
        <f t="shared" ref="S135:AC135" si="27">R135+S132</f>
        <v>0</v>
      </c>
      <c r="T135" s="95">
        <f t="shared" si="27"/>
        <v>0</v>
      </c>
      <c r="U135" s="95">
        <f t="shared" si="27"/>
        <v>0</v>
      </c>
      <c r="V135" s="95">
        <f t="shared" si="27"/>
        <v>0</v>
      </c>
      <c r="W135" s="95">
        <f t="shared" si="27"/>
        <v>0</v>
      </c>
      <c r="X135" s="95">
        <f t="shared" si="27"/>
        <v>0</v>
      </c>
      <c r="Y135" s="95">
        <f t="shared" si="27"/>
        <v>0</v>
      </c>
      <c r="Z135" s="95">
        <f t="shared" si="27"/>
        <v>0</v>
      </c>
      <c r="AA135" s="95">
        <f t="shared" si="27"/>
        <v>0</v>
      </c>
      <c r="AB135" s="95">
        <f t="shared" si="27"/>
        <v>0</v>
      </c>
      <c r="AC135" s="95">
        <f t="shared" si="27"/>
        <v>0</v>
      </c>
      <c r="AD135" s="95">
        <f t="shared" ref="AD135" si="28">AC135+AD132</f>
        <v>0</v>
      </c>
      <c r="AE135" s="95">
        <f t="shared" ref="AE135" si="29">AD135+AE132</f>
        <v>0</v>
      </c>
      <c r="AF135" s="95">
        <f t="shared" ref="AF135" si="30">AE135+AF132</f>
        <v>0</v>
      </c>
      <c r="AG135" s="95">
        <f t="shared" ref="AG135" si="31">AF135+AG132</f>
        <v>0</v>
      </c>
      <c r="AH135" s="152"/>
    </row>
    <row r="136" spans="2:34" ht="15.75" x14ac:dyDescent="0.25">
      <c r="B136" s="13" t="s">
        <v>442</v>
      </c>
      <c r="C136" s="175">
        <f>assumptions!D67</f>
        <v>0</v>
      </c>
      <c r="D136" s="153"/>
      <c r="E136" s="153">
        <v>0</v>
      </c>
      <c r="F136" s="153">
        <f>E135*($C$136/12)</f>
        <v>0</v>
      </c>
      <c r="G136" s="153">
        <f t="shared" ref="G136:Q136" si="32">F135*($C$136/12)</f>
        <v>0</v>
      </c>
      <c r="H136" s="153">
        <f t="shared" si="32"/>
        <v>0</v>
      </c>
      <c r="I136" s="153">
        <f t="shared" si="32"/>
        <v>0</v>
      </c>
      <c r="J136" s="153">
        <f t="shared" si="32"/>
        <v>0</v>
      </c>
      <c r="K136" s="153">
        <f t="shared" si="32"/>
        <v>0</v>
      </c>
      <c r="L136" s="153">
        <f t="shared" si="32"/>
        <v>0</v>
      </c>
      <c r="M136" s="153">
        <f t="shared" si="32"/>
        <v>0</v>
      </c>
      <c r="N136" s="153">
        <f t="shared" si="32"/>
        <v>0</v>
      </c>
      <c r="O136" s="153">
        <f t="shared" si="32"/>
        <v>0</v>
      </c>
      <c r="P136" s="153">
        <f t="shared" si="32"/>
        <v>0</v>
      </c>
      <c r="Q136" s="153">
        <f t="shared" si="32"/>
        <v>0</v>
      </c>
      <c r="R136" s="153">
        <f>Q135*($C$136/12)</f>
        <v>0</v>
      </c>
      <c r="S136" s="153">
        <f t="shared" ref="S136:AC136" si="33">R135*($C$136/12)</f>
        <v>0</v>
      </c>
      <c r="T136" s="95">
        <f t="shared" si="33"/>
        <v>0</v>
      </c>
      <c r="U136" s="95">
        <f t="shared" si="33"/>
        <v>0</v>
      </c>
      <c r="V136" s="95">
        <f t="shared" si="33"/>
        <v>0</v>
      </c>
      <c r="W136" s="95">
        <f t="shared" si="33"/>
        <v>0</v>
      </c>
      <c r="X136" s="95">
        <f t="shared" si="33"/>
        <v>0</v>
      </c>
      <c r="Y136" s="95">
        <f t="shared" si="33"/>
        <v>0</v>
      </c>
      <c r="Z136" s="95">
        <f t="shared" si="33"/>
        <v>0</v>
      </c>
      <c r="AA136" s="95">
        <f t="shared" si="33"/>
        <v>0</v>
      </c>
      <c r="AB136" s="95">
        <f t="shared" si="33"/>
        <v>0</v>
      </c>
      <c r="AC136" s="95">
        <f t="shared" si="33"/>
        <v>0</v>
      </c>
      <c r="AD136" s="95">
        <f t="shared" ref="AD136" si="34">AC135*($C$136/12)</f>
        <v>0</v>
      </c>
      <c r="AE136" s="95">
        <f t="shared" ref="AE136" si="35">AD135*($C$136/12)</f>
        <v>0</v>
      </c>
      <c r="AF136" s="95">
        <f t="shared" ref="AF136" si="36">AE135*($C$136/12)</f>
        <v>0</v>
      </c>
      <c r="AG136" s="95">
        <f t="shared" ref="AG136" si="37">AF135*($C$136/12)</f>
        <v>0</v>
      </c>
      <c r="AH136" s="152"/>
    </row>
    <row r="137" spans="2:34" ht="15.75" x14ac:dyDescent="0.25">
      <c r="B137" s="13"/>
      <c r="C137" s="154"/>
      <c r="D137" s="153"/>
      <c r="E137" s="153"/>
      <c r="F137" s="153"/>
      <c r="G137" s="153"/>
      <c r="H137" s="153"/>
      <c r="I137" s="153"/>
      <c r="J137" s="153"/>
      <c r="K137" s="153"/>
      <c r="L137" s="153"/>
      <c r="M137" s="153"/>
      <c r="N137" s="153"/>
      <c r="O137" s="153"/>
      <c r="P137" s="155"/>
      <c r="Q137" s="153"/>
      <c r="R137" s="153"/>
      <c r="S137" s="153"/>
      <c r="T137" s="153"/>
      <c r="U137" s="153"/>
      <c r="V137" s="153"/>
      <c r="W137" s="153"/>
      <c r="X137" s="153"/>
      <c r="Y137" s="153"/>
      <c r="Z137" s="153"/>
      <c r="AA137" s="153"/>
      <c r="AB137" s="153"/>
      <c r="AH137" s="152"/>
    </row>
    <row r="138" spans="2:34" ht="15.75" x14ac:dyDescent="0.25">
      <c r="B138" s="13" t="s">
        <v>569</v>
      </c>
      <c r="C138" s="153" t="s">
        <v>443</v>
      </c>
      <c r="D138" s="499">
        <f>'credit calcs'!AE93</f>
        <v>0</v>
      </c>
      <c r="E138" s="500" t="str">
        <f>IF($D$138=0,"",E135/$D$138)</f>
        <v/>
      </c>
      <c r="F138" s="500" t="str">
        <f>IF($D$138=0,"",F135/$D$138)</f>
        <v/>
      </c>
      <c r="G138" s="500" t="str">
        <f t="shared" ref="G138:R138" si="38">IF($D$138=0,"",G135/$D$138)</f>
        <v/>
      </c>
      <c r="H138" s="500" t="str">
        <f t="shared" si="38"/>
        <v/>
      </c>
      <c r="I138" s="500" t="str">
        <f t="shared" si="38"/>
        <v/>
      </c>
      <c r="J138" s="500" t="str">
        <f t="shared" si="38"/>
        <v/>
      </c>
      <c r="K138" s="500" t="str">
        <f t="shared" si="38"/>
        <v/>
      </c>
      <c r="L138" s="500" t="str">
        <f t="shared" si="38"/>
        <v/>
      </c>
      <c r="M138" s="500" t="str">
        <f t="shared" si="38"/>
        <v/>
      </c>
      <c r="N138" s="500" t="str">
        <f t="shared" si="38"/>
        <v/>
      </c>
      <c r="O138" s="500" t="str">
        <f t="shared" si="38"/>
        <v/>
      </c>
      <c r="P138" s="500" t="str">
        <f t="shared" si="38"/>
        <v/>
      </c>
      <c r="Q138" s="500" t="str">
        <f t="shared" si="38"/>
        <v/>
      </c>
      <c r="R138" s="500" t="str">
        <f t="shared" si="38"/>
        <v/>
      </c>
      <c r="S138" s="500" t="str">
        <f>IF($D$138=0,"",S135/$D$138)</f>
        <v/>
      </c>
      <c r="T138" s="485"/>
      <c r="U138" s="485"/>
      <c r="V138" s="485"/>
      <c r="W138" s="485"/>
      <c r="X138" s="485"/>
      <c r="Y138" s="485"/>
      <c r="Z138" s="485"/>
      <c r="AA138" s="485"/>
      <c r="AB138" s="485"/>
      <c r="AH138" s="152"/>
    </row>
    <row r="139" spans="2:34" x14ac:dyDescent="0.2">
      <c r="B139" s="13"/>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H139" s="152"/>
    </row>
    <row r="140" spans="2:34" x14ac:dyDescent="0.2">
      <c r="B140" s="13" t="s">
        <v>444</v>
      </c>
      <c r="D140" s="150">
        <f>assumptions!B68</f>
        <v>0</v>
      </c>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H140" s="152"/>
    </row>
    <row r="141" spans="2:34" ht="15.75" x14ac:dyDescent="0.25">
      <c r="B141" s="13" t="s">
        <v>442</v>
      </c>
      <c r="C141" s="55">
        <f>assumptions!D68</f>
        <v>0</v>
      </c>
      <c r="D141" s="150"/>
      <c r="E141" s="95">
        <f>E140*$C$141/12</f>
        <v>0</v>
      </c>
      <c r="F141" s="95">
        <f t="shared" ref="F141:AC141" si="39">F140*$C$141/12</f>
        <v>0</v>
      </c>
      <c r="G141" s="95">
        <f t="shared" si="39"/>
        <v>0</v>
      </c>
      <c r="H141" s="95">
        <f t="shared" si="39"/>
        <v>0</v>
      </c>
      <c r="I141" s="95">
        <f t="shared" si="39"/>
        <v>0</v>
      </c>
      <c r="J141" s="95">
        <f t="shared" si="39"/>
        <v>0</v>
      </c>
      <c r="K141" s="95">
        <f t="shared" si="39"/>
        <v>0</v>
      </c>
      <c r="L141" s="95">
        <f t="shared" si="39"/>
        <v>0</v>
      </c>
      <c r="M141" s="95">
        <f t="shared" si="39"/>
        <v>0</v>
      </c>
      <c r="N141" s="95">
        <f t="shared" si="39"/>
        <v>0</v>
      </c>
      <c r="O141" s="95">
        <f t="shared" si="39"/>
        <v>0</v>
      </c>
      <c r="P141" s="95">
        <f t="shared" si="39"/>
        <v>0</v>
      </c>
      <c r="Q141" s="95">
        <f t="shared" si="39"/>
        <v>0</v>
      </c>
      <c r="R141" s="95">
        <f t="shared" si="39"/>
        <v>0</v>
      </c>
      <c r="S141" s="95">
        <f t="shared" si="39"/>
        <v>0</v>
      </c>
      <c r="T141" s="95">
        <f t="shared" si="39"/>
        <v>0</v>
      </c>
      <c r="U141" s="95">
        <f t="shared" si="39"/>
        <v>0</v>
      </c>
      <c r="V141" s="95">
        <f t="shared" si="39"/>
        <v>0</v>
      </c>
      <c r="W141" s="95">
        <f t="shared" si="39"/>
        <v>0</v>
      </c>
      <c r="X141" s="95">
        <f t="shared" si="39"/>
        <v>0</v>
      </c>
      <c r="Y141" s="95">
        <f t="shared" si="39"/>
        <v>0</v>
      </c>
      <c r="Z141" s="95">
        <f t="shared" si="39"/>
        <v>0</v>
      </c>
      <c r="AA141" s="95">
        <f t="shared" si="39"/>
        <v>0</v>
      </c>
      <c r="AB141" s="95">
        <f t="shared" si="39"/>
        <v>0</v>
      </c>
      <c r="AC141" s="95">
        <f t="shared" si="39"/>
        <v>0</v>
      </c>
      <c r="AD141" s="95">
        <f t="shared" ref="AD141:AG141" si="40">AD140*$C$141/12</f>
        <v>0</v>
      </c>
      <c r="AE141" s="95">
        <f t="shared" si="40"/>
        <v>0</v>
      </c>
      <c r="AF141" s="95">
        <f t="shared" si="40"/>
        <v>0</v>
      </c>
      <c r="AG141" s="95">
        <f t="shared" si="40"/>
        <v>0</v>
      </c>
      <c r="AH141" s="152"/>
    </row>
    <row r="142" spans="2:34" x14ac:dyDescent="0.2">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2"/>
      <c r="AE142" s="152"/>
      <c r="AF142" s="152"/>
      <c r="AG142" s="152"/>
      <c r="AH142" s="152"/>
    </row>
    <row r="143" spans="2:34" x14ac:dyDescent="0.2">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row>
  </sheetData>
  <sheetProtection algorithmName="SHA-512" hashValue="sr4FEovHm3RwsylhKSh7/Uu4MXW7QnyJKPnjqfOwjfgKC9cbTgLsCsEq++wwhw9GX+flglAu8iMB35W7b5nb7A==" saltValue="ueiQukfsTVeARg9+NAH5pA==" spinCount="100000" sheet="1" formatCells="0" formatColumns="0" formatRows="0" insertColumns="0"/>
  <phoneticPr fontId="0" type="noConversion"/>
  <pageMargins left="0.75" right="0.75" top="1" bottom="1" header="0.5" footer="0.5"/>
  <pageSetup scale="32" orientation="portrait" r:id="rId1"/>
  <headerFooter alignWithMargins="0">
    <oddFooter>&amp;L&amp;F
&amp;D&amp;T&amp;R&amp;"Times New Roman,Regular"&amp;8revision date:  8/6/2007</oddFooter>
  </headerFooter>
  <ignoredErrors>
    <ignoredError sqref="Q127 AC127" formulaRange="1"/>
  </ignoredError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5D906-7ACA-40D3-B846-035F352FA487}">
  <sheetPr>
    <pageSetUpPr fitToPage="1"/>
  </sheetPr>
  <dimension ref="A2:J46"/>
  <sheetViews>
    <sheetView zoomScale="110" zoomScaleNormal="110" workbookViewId="0">
      <selection activeCell="A19" sqref="A19:XFD19"/>
    </sheetView>
  </sheetViews>
  <sheetFormatPr defaultColWidth="8.6640625" defaultRowHeight="14.25" x14ac:dyDescent="0.2"/>
  <cols>
    <col min="1" max="1" width="2.6640625" style="12" customWidth="1"/>
    <col min="2" max="2" width="21" style="12" customWidth="1"/>
    <col min="3" max="3" width="27.77734375" style="12" customWidth="1"/>
    <col min="4" max="4" width="17.6640625" style="12" customWidth="1"/>
    <col min="5" max="5" width="18.77734375" style="12" customWidth="1"/>
    <col min="6" max="6" width="18" style="12" customWidth="1"/>
    <col min="7" max="8" width="8.6640625" style="12"/>
    <col min="9" max="9" width="9.6640625" style="12" customWidth="1"/>
    <col min="10" max="16384" width="8.6640625" style="12"/>
  </cols>
  <sheetData>
    <row r="2" spans="1:10" x14ac:dyDescent="0.2">
      <c r="B2" s="558" t="s">
        <v>445</v>
      </c>
      <c r="C2" s="558"/>
      <c r="D2" s="558"/>
      <c r="E2" s="558"/>
      <c r="F2" s="558"/>
      <c r="G2" s="558"/>
      <c r="H2" s="558"/>
      <c r="I2" s="558"/>
    </row>
    <row r="3" spans="1:10" x14ac:dyDescent="0.2">
      <c r="A3" s="158"/>
      <c r="B3" s="170" t="s">
        <v>446</v>
      </c>
      <c r="C3" s="61"/>
      <c r="D3" s="61"/>
      <c r="E3" s="61"/>
      <c r="F3" s="61"/>
      <c r="G3" s="61"/>
      <c r="H3" s="61"/>
    </row>
    <row r="4" spans="1:10" x14ac:dyDescent="0.2">
      <c r="A4" s="158"/>
      <c r="B4" s="170"/>
      <c r="C4" s="61"/>
      <c r="D4" s="61"/>
      <c r="E4" s="61"/>
      <c r="F4" s="61"/>
      <c r="G4" s="61"/>
      <c r="H4" s="61"/>
    </row>
    <row r="5" spans="1:10" x14ac:dyDescent="0.2">
      <c r="A5" s="158"/>
      <c r="B5" s="163" t="s">
        <v>447</v>
      </c>
      <c r="C5" s="164"/>
      <c r="D5" s="164"/>
      <c r="E5" s="164"/>
      <c r="F5" s="164"/>
      <c r="G5" s="164"/>
      <c r="H5" s="164"/>
      <c r="I5" s="92"/>
    </row>
    <row r="6" spans="1:10" x14ac:dyDescent="0.2">
      <c r="A6" s="158"/>
      <c r="B6" s="158"/>
      <c r="C6" s="1" t="str">
        <f>assumptions!A1</f>
        <v>Project Name:</v>
      </c>
      <c r="D6" s="1" t="str">
        <f>assumptions!B1</f>
        <v>enter project name</v>
      </c>
      <c r="I6" s="86"/>
    </row>
    <row r="7" spans="1:10" x14ac:dyDescent="0.2">
      <c r="A7" s="158"/>
      <c r="B7" s="158"/>
      <c r="C7" s="12" t="s">
        <v>448</v>
      </c>
      <c r="D7" s="1">
        <f>assumptions!$B$4</f>
        <v>0</v>
      </c>
      <c r="I7" s="86"/>
    </row>
    <row r="8" spans="1:10" x14ac:dyDescent="0.2">
      <c r="A8" s="158"/>
      <c r="B8" s="158"/>
      <c r="C8" s="12" t="s">
        <v>449</v>
      </c>
      <c r="D8" s="1">
        <f>assumptions!B7</f>
        <v>0</v>
      </c>
      <c r="I8" s="86"/>
    </row>
    <row r="9" spans="1:10" x14ac:dyDescent="0.2">
      <c r="A9" s="158"/>
      <c r="B9" s="158"/>
      <c r="I9" s="86"/>
    </row>
    <row r="10" spans="1:10" ht="28.5" x14ac:dyDescent="0.2">
      <c r="A10" s="158"/>
      <c r="B10" s="158"/>
      <c r="C10" s="22" t="s">
        <v>450</v>
      </c>
      <c r="D10" s="12" t="s">
        <v>451</v>
      </c>
      <c r="E10" s="22" t="s">
        <v>452</v>
      </c>
      <c r="F10" s="22" t="s">
        <v>453</v>
      </c>
      <c r="G10" s="22" t="s">
        <v>454</v>
      </c>
      <c r="H10" s="22" t="s">
        <v>455</v>
      </c>
      <c r="I10" s="159" t="s">
        <v>456</v>
      </c>
      <c r="J10" s="22"/>
    </row>
    <row r="11" spans="1:10" x14ac:dyDescent="0.2">
      <c r="A11" s="158"/>
      <c r="B11" s="158"/>
      <c r="D11" s="12" t="s">
        <v>457</v>
      </c>
      <c r="E11" s="140"/>
      <c r="F11" s="140"/>
      <c r="G11" s="140"/>
      <c r="H11" s="140"/>
      <c r="I11" s="165"/>
    </row>
    <row r="12" spans="1:10" x14ac:dyDescent="0.2">
      <c r="A12" s="158"/>
      <c r="B12" s="158"/>
      <c r="D12" s="12" t="s">
        <v>458</v>
      </c>
      <c r="E12" s="140"/>
      <c r="F12" s="140"/>
      <c r="G12" s="140"/>
      <c r="H12" s="140"/>
      <c r="I12" s="165"/>
    </row>
    <row r="13" spans="1:10" x14ac:dyDescent="0.2">
      <c r="A13" s="158"/>
      <c r="B13" s="158"/>
      <c r="D13" s="12" t="s">
        <v>459</v>
      </c>
      <c r="E13" s="140"/>
      <c r="F13" s="140"/>
      <c r="G13" s="140"/>
      <c r="H13" s="140"/>
      <c r="I13" s="165"/>
    </row>
    <row r="14" spans="1:10" x14ac:dyDescent="0.2">
      <c r="A14" s="158"/>
      <c r="B14" s="158"/>
      <c r="D14" s="12" t="s">
        <v>460</v>
      </c>
      <c r="E14" s="140"/>
      <c r="F14" s="140"/>
      <c r="G14" s="140"/>
      <c r="H14" s="140"/>
      <c r="I14" s="165"/>
    </row>
    <row r="15" spans="1:10" x14ac:dyDescent="0.2">
      <c r="A15" s="158"/>
      <c r="B15" s="158"/>
      <c r="D15" s="12" t="s">
        <v>461</v>
      </c>
      <c r="E15" s="140"/>
      <c r="F15" s="140"/>
      <c r="G15" s="140"/>
      <c r="H15" s="140"/>
      <c r="I15" s="165"/>
    </row>
    <row r="16" spans="1:10" x14ac:dyDescent="0.2">
      <c r="A16" s="158"/>
      <c r="B16" s="158"/>
      <c r="D16" s="12" t="s">
        <v>462</v>
      </c>
      <c r="E16" s="140"/>
      <c r="F16" s="140"/>
      <c r="G16" s="140"/>
      <c r="H16" s="140"/>
      <c r="I16" s="165"/>
    </row>
    <row r="17" spans="1:9" x14ac:dyDescent="0.2">
      <c r="A17" s="158"/>
      <c r="B17" s="158"/>
      <c r="D17" s="12" t="s">
        <v>463</v>
      </c>
      <c r="E17" s="140"/>
      <c r="F17" s="140"/>
      <c r="G17" s="140"/>
      <c r="H17" s="140"/>
      <c r="I17" s="165"/>
    </row>
    <row r="18" spans="1:9" x14ac:dyDescent="0.2">
      <c r="A18" s="158"/>
      <c r="B18" s="158"/>
      <c r="D18" s="37" t="s">
        <v>464</v>
      </c>
      <c r="E18" s="160"/>
      <c r="F18" s="160"/>
      <c r="G18" s="160"/>
      <c r="H18" s="160"/>
      <c r="I18" s="166"/>
    </row>
    <row r="19" spans="1:9" x14ac:dyDescent="0.2">
      <c r="A19" s="158"/>
      <c r="B19" s="158"/>
      <c r="H19" s="12" t="s">
        <v>465</v>
      </c>
      <c r="I19" s="224">
        <f>SUM(I11:I18)</f>
        <v>0</v>
      </c>
    </row>
    <row r="20" spans="1:9" x14ac:dyDescent="0.2">
      <c r="A20" s="158"/>
      <c r="B20" s="158"/>
      <c r="C20" s="12" t="s">
        <v>466</v>
      </c>
      <c r="D20" s="553" t="s">
        <v>467</v>
      </c>
      <c r="E20" s="553"/>
      <c r="F20" s="553"/>
      <c r="G20" s="553"/>
      <c r="H20" s="553"/>
      <c r="I20" s="165"/>
    </row>
    <row r="21" spans="1:9" x14ac:dyDescent="0.2">
      <c r="A21" s="158"/>
      <c r="B21" s="158"/>
      <c r="D21" s="553" t="s">
        <v>468</v>
      </c>
      <c r="E21" s="553"/>
      <c r="F21" s="553"/>
      <c r="G21" s="553"/>
      <c r="H21" s="553"/>
      <c r="I21" s="165"/>
    </row>
    <row r="22" spans="1:9" x14ac:dyDescent="0.2">
      <c r="A22" s="158"/>
      <c r="B22" s="158"/>
      <c r="D22" s="553" t="s">
        <v>469</v>
      </c>
      <c r="E22" s="553"/>
      <c r="F22" s="553"/>
      <c r="G22" s="553"/>
      <c r="H22" s="553"/>
      <c r="I22" s="165"/>
    </row>
    <row r="23" spans="1:9" x14ac:dyDescent="0.2">
      <c r="A23" s="158"/>
      <c r="B23" s="158"/>
      <c r="D23" s="553" t="s">
        <v>470</v>
      </c>
      <c r="E23" s="553"/>
      <c r="F23" s="553"/>
      <c r="G23" s="553"/>
      <c r="H23" s="553"/>
      <c r="I23" s="165"/>
    </row>
    <row r="24" spans="1:9" x14ac:dyDescent="0.2">
      <c r="A24" s="158"/>
      <c r="B24" s="158"/>
      <c r="D24" s="553" t="s">
        <v>471</v>
      </c>
      <c r="E24" s="553"/>
      <c r="F24" s="553"/>
      <c r="G24" s="553"/>
      <c r="H24" s="553"/>
      <c r="I24" s="165"/>
    </row>
    <row r="25" spans="1:9" x14ac:dyDescent="0.2">
      <c r="A25" s="158"/>
      <c r="B25" s="158"/>
      <c r="D25" s="553" t="s">
        <v>472</v>
      </c>
      <c r="E25" s="553"/>
      <c r="F25" s="553"/>
      <c r="G25" s="553"/>
      <c r="H25" s="553"/>
      <c r="I25" s="165"/>
    </row>
    <row r="26" spans="1:9" x14ac:dyDescent="0.2">
      <c r="A26" s="158"/>
      <c r="B26" s="158"/>
      <c r="D26" s="557" t="s">
        <v>473</v>
      </c>
      <c r="E26" s="557"/>
      <c r="F26" s="557"/>
      <c r="G26" s="557"/>
      <c r="H26" s="557"/>
      <c r="I26" s="166"/>
    </row>
    <row r="27" spans="1:9" x14ac:dyDescent="0.2">
      <c r="A27" s="158"/>
      <c r="B27" s="158"/>
      <c r="H27" s="12" t="s">
        <v>465</v>
      </c>
      <c r="I27" s="224">
        <f>SUM(I20:I26)</f>
        <v>0</v>
      </c>
    </row>
    <row r="28" spans="1:9" x14ac:dyDescent="0.2">
      <c r="A28" s="158"/>
      <c r="B28" s="158"/>
      <c r="C28" s="12" t="s">
        <v>474</v>
      </c>
      <c r="D28" s="12" t="s">
        <v>475</v>
      </c>
      <c r="I28" s="86"/>
    </row>
    <row r="29" spans="1:9" x14ac:dyDescent="0.2">
      <c r="B29" s="158"/>
      <c r="I29" s="86"/>
    </row>
    <row r="30" spans="1:9" x14ac:dyDescent="0.2">
      <c r="B30" s="167" t="s">
        <v>476</v>
      </c>
      <c r="I30" s="86"/>
    </row>
    <row r="31" spans="1:9" x14ac:dyDescent="0.2">
      <c r="B31" s="168" t="s">
        <v>477</v>
      </c>
      <c r="C31" s="553" t="s">
        <v>478</v>
      </c>
      <c r="D31" s="553"/>
      <c r="E31" s="140"/>
      <c r="I31" s="86"/>
    </row>
    <row r="32" spans="1:9" ht="13.9" customHeight="1" x14ac:dyDescent="0.2">
      <c r="B32" s="158"/>
      <c r="C32" s="555" t="s">
        <v>479</v>
      </c>
      <c r="D32" s="555"/>
      <c r="E32" s="140"/>
      <c r="I32" s="86"/>
    </row>
    <row r="33" spans="2:9" ht="36" customHeight="1" x14ac:dyDescent="0.2">
      <c r="B33" s="158"/>
      <c r="C33" s="555" t="s">
        <v>480</v>
      </c>
      <c r="D33" s="555"/>
      <c r="E33" s="140"/>
      <c r="I33" s="86"/>
    </row>
    <row r="34" spans="2:9" ht="42.75" customHeight="1" x14ac:dyDescent="0.2">
      <c r="B34" s="158"/>
      <c r="C34" s="555" t="s">
        <v>481</v>
      </c>
      <c r="D34" s="555"/>
      <c r="E34" s="304" t="e">
        <f>E33/E32</f>
        <v>#DIV/0!</v>
      </c>
      <c r="I34" s="86"/>
    </row>
    <row r="35" spans="2:9" x14ac:dyDescent="0.2">
      <c r="B35" s="158"/>
      <c r="I35" s="86"/>
    </row>
    <row r="36" spans="2:9" ht="14.25" customHeight="1" x14ac:dyDescent="0.2">
      <c r="B36" s="158"/>
      <c r="C36" s="554" t="s">
        <v>482</v>
      </c>
      <c r="D36" s="554"/>
      <c r="E36" s="140"/>
      <c r="F36" s="556"/>
      <c r="G36" s="556"/>
      <c r="H36" s="556"/>
      <c r="I36" s="86"/>
    </row>
    <row r="37" spans="2:9" x14ac:dyDescent="0.2">
      <c r="B37" s="158"/>
      <c r="F37" s="556"/>
      <c r="G37" s="556"/>
      <c r="H37" s="556"/>
      <c r="I37" s="86"/>
    </row>
    <row r="38" spans="2:9" x14ac:dyDescent="0.2">
      <c r="B38" s="168" t="s">
        <v>483</v>
      </c>
      <c r="C38" s="553" t="s">
        <v>478</v>
      </c>
      <c r="D38" s="553"/>
      <c r="E38" s="140"/>
      <c r="I38" s="86"/>
    </row>
    <row r="39" spans="2:9" x14ac:dyDescent="0.2">
      <c r="B39" s="158"/>
      <c r="C39" s="555" t="s">
        <v>479</v>
      </c>
      <c r="D39" s="555"/>
      <c r="E39" s="140"/>
      <c r="I39" s="86"/>
    </row>
    <row r="40" spans="2:9" ht="33.6" customHeight="1" x14ac:dyDescent="0.2">
      <c r="B40" s="158"/>
      <c r="C40" s="555" t="s">
        <v>480</v>
      </c>
      <c r="D40" s="555"/>
      <c r="E40" s="140"/>
      <c r="I40" s="86"/>
    </row>
    <row r="41" spans="2:9" ht="28.15" customHeight="1" x14ac:dyDescent="0.2">
      <c r="B41" s="158"/>
      <c r="C41" s="555" t="s">
        <v>481</v>
      </c>
      <c r="D41" s="555"/>
      <c r="E41" s="239" t="e">
        <f>E40/E39</f>
        <v>#DIV/0!</v>
      </c>
      <c r="I41" s="86"/>
    </row>
    <row r="42" spans="2:9" ht="28.15" customHeight="1" x14ac:dyDescent="0.2">
      <c r="B42" s="158"/>
      <c r="C42" s="22"/>
      <c r="D42" s="22"/>
      <c r="E42" s="34"/>
      <c r="I42" s="86"/>
    </row>
    <row r="43" spans="2:9" x14ac:dyDescent="0.2">
      <c r="B43" s="158"/>
      <c r="C43" s="554" t="s">
        <v>482</v>
      </c>
      <c r="D43" s="554"/>
      <c r="E43" s="140"/>
      <c r="I43" s="86"/>
    </row>
    <row r="44" spans="2:9" x14ac:dyDescent="0.2">
      <c r="B44" s="158"/>
      <c r="I44" s="86"/>
    </row>
    <row r="45" spans="2:9" x14ac:dyDescent="0.2">
      <c r="B45" s="167" t="s">
        <v>484</v>
      </c>
      <c r="I45" s="86"/>
    </row>
    <row r="46" spans="2:9" x14ac:dyDescent="0.2">
      <c r="B46" s="161"/>
      <c r="C46" s="37"/>
      <c r="D46" s="37"/>
      <c r="E46" s="37"/>
      <c r="F46" s="37"/>
      <c r="G46" s="37"/>
      <c r="H46" s="37"/>
      <c r="I46" s="162"/>
    </row>
  </sheetData>
  <sheetProtection algorithmName="SHA-512" hashValue="FEGR3E/Qv0tD8TjYEi8VkDSRmpjWJDzjNcg35bobPxh2PN/uRnAQAaD8RHWvz5CuTjL6uZwHvfloVocyJidMhw==" saltValue="m5yjnXSdwspb4AsBtvGeaA==" spinCount="100000" sheet="1" formatCells="0" formatColumns="0" formatRows="0" insertColumns="0" insertRows="0" insertHyperlinks="0"/>
  <sortState xmlns:xlrd2="http://schemas.microsoft.com/office/spreadsheetml/2017/richdata2" ref="D11:D18">
    <sortCondition ref="D18"/>
  </sortState>
  <mergeCells count="19">
    <mergeCell ref="D20:H20"/>
    <mergeCell ref="D21:H21"/>
    <mergeCell ref="D22:H22"/>
    <mergeCell ref="D23:H23"/>
    <mergeCell ref="B2:I2"/>
    <mergeCell ref="D24:H24"/>
    <mergeCell ref="D25:H25"/>
    <mergeCell ref="C34:D34"/>
    <mergeCell ref="C36:D36"/>
    <mergeCell ref="C31:D31"/>
    <mergeCell ref="F36:H37"/>
    <mergeCell ref="C32:D32"/>
    <mergeCell ref="C33:D33"/>
    <mergeCell ref="D26:H26"/>
    <mergeCell ref="C38:D38"/>
    <mergeCell ref="C43:D43"/>
    <mergeCell ref="C39:D39"/>
    <mergeCell ref="C40:D40"/>
    <mergeCell ref="C41:D41"/>
  </mergeCells>
  <pageMargins left="0.7" right="0.7" top="0.75" bottom="0.75" header="0.3" footer="0.3"/>
  <pageSetup scale="9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F66D-4229-4CEC-A4DD-A126A4767ECD}">
  <sheetPr>
    <pageSetUpPr fitToPage="1"/>
  </sheetPr>
  <dimension ref="B1:R102"/>
  <sheetViews>
    <sheetView showGridLines="0" zoomScale="90" zoomScaleNormal="90" workbookViewId="0">
      <selection activeCell="H15" sqref="H15"/>
    </sheetView>
  </sheetViews>
  <sheetFormatPr defaultColWidth="11.109375" defaultRowHeight="15.75" outlineLevelRow="1" x14ac:dyDescent="0.25"/>
  <cols>
    <col min="1" max="1" width="11.109375" style="355"/>
    <col min="2" max="2" width="22.44140625" style="106" customWidth="1"/>
    <col min="3" max="3" width="22" style="95" customWidth="1"/>
    <col min="4" max="4" width="21.88671875" style="106" customWidth="1"/>
    <col min="5" max="5" width="10.88671875" style="95" customWidth="1"/>
    <col min="6" max="6" width="9.109375" style="95" customWidth="1"/>
    <col min="7" max="7" width="8.109375" style="95" customWidth="1"/>
    <col min="8" max="8" width="11.109375" style="355"/>
    <col min="9" max="9" width="29.33203125" style="355" customWidth="1"/>
    <col min="10" max="16" width="11.109375" style="355"/>
    <col min="17" max="17" width="11.109375" style="355" customWidth="1"/>
    <col min="18" max="18" width="31.5546875" style="358" customWidth="1"/>
    <col min="19" max="19" width="3" style="355" customWidth="1"/>
    <col min="20" max="20" width="11.109375" style="355" customWidth="1"/>
    <col min="21" max="16384" width="11.109375" style="355"/>
  </cols>
  <sheetData>
    <row r="1" spans="2:18" ht="16.5" thickBot="1" x14ac:dyDescent="0.3"/>
    <row r="2" spans="2:18" ht="21" customHeight="1" thickBot="1" x14ac:dyDescent="0.3">
      <c r="I2" s="356" t="s">
        <v>485</v>
      </c>
      <c r="J2" s="357">
        <v>0</v>
      </c>
    </row>
    <row r="3" spans="2:18" ht="24.6" customHeight="1" x14ac:dyDescent="0.25">
      <c r="B3" s="359" t="s">
        <v>18</v>
      </c>
      <c r="C3" s="360" t="str">
        <f>assumptions!B1</f>
        <v>enter project name</v>
      </c>
      <c r="D3" s="361" t="s">
        <v>486</v>
      </c>
      <c r="E3" s="604">
        <f ca="1">TODAY()</f>
        <v>46055</v>
      </c>
      <c r="F3" s="604"/>
      <c r="G3" s="605"/>
      <c r="R3" s="355"/>
    </row>
    <row r="4" spans="2:18" ht="22.5" customHeight="1" x14ac:dyDescent="0.25">
      <c r="B4" s="584" t="s">
        <v>487</v>
      </c>
      <c r="C4" s="607"/>
      <c r="D4" s="362" t="s">
        <v>488</v>
      </c>
      <c r="E4" s="592">
        <f>rents!B101</f>
        <v>0</v>
      </c>
      <c r="F4" s="592"/>
      <c r="G4" s="593"/>
      <c r="R4" s="355"/>
    </row>
    <row r="5" spans="2:18" ht="22.15" customHeight="1" x14ac:dyDescent="0.25">
      <c r="B5" s="606"/>
      <c r="C5" s="608"/>
      <c r="D5" s="363" t="s">
        <v>489</v>
      </c>
      <c r="E5" s="609">
        <f>rents!G101</f>
        <v>0</v>
      </c>
      <c r="F5" s="609"/>
      <c r="G5" s="610"/>
      <c r="R5" s="355"/>
    </row>
    <row r="6" spans="2:18" ht="9.6" customHeight="1" x14ac:dyDescent="0.25">
      <c r="B6" s="565" t="s">
        <v>490</v>
      </c>
      <c r="C6" s="611"/>
      <c r="D6" s="612" t="s">
        <v>491</v>
      </c>
      <c r="E6" s="613" t="s">
        <v>492</v>
      </c>
      <c r="F6" s="613" t="s">
        <v>284</v>
      </c>
      <c r="G6" s="596" t="s">
        <v>493</v>
      </c>
      <c r="R6" s="355"/>
    </row>
    <row r="7" spans="2:18" ht="21.6" customHeight="1" x14ac:dyDescent="0.25">
      <c r="B7" s="565"/>
      <c r="C7" s="611"/>
      <c r="D7" s="612"/>
      <c r="E7" s="613"/>
      <c r="F7" s="613"/>
      <c r="G7" s="596"/>
      <c r="R7" s="355"/>
    </row>
    <row r="8" spans="2:18" ht="22.5" customHeight="1" x14ac:dyDescent="0.25">
      <c r="B8" s="364" t="s">
        <v>494</v>
      </c>
      <c r="C8" s="365" t="s">
        <v>241</v>
      </c>
      <c r="E8" s="366" t="s">
        <v>495</v>
      </c>
      <c r="F8" s="367">
        <f>'rent summary'!D6+'rent summary'!D16</f>
        <v>0</v>
      </c>
      <c r="G8" s="368">
        <f>('rent summary'!C6+'rent summary'!C16)/2</f>
        <v>0</v>
      </c>
      <c r="R8" s="355"/>
    </row>
    <row r="9" spans="2:18" ht="22.5" customHeight="1" x14ac:dyDescent="0.25">
      <c r="B9" s="369" t="s">
        <v>32</v>
      </c>
      <c r="C9" s="370">
        <f>'sources-uses'!C93</f>
        <v>0</v>
      </c>
      <c r="E9" s="366" t="s">
        <v>496</v>
      </c>
      <c r="F9" s="367">
        <f>'rent summary'!D7+'rent summary'!D17</f>
        <v>0</v>
      </c>
      <c r="G9" s="368">
        <f>('rent summary'!C7+'rent summary'!C17)/2</f>
        <v>0</v>
      </c>
      <c r="R9" s="355"/>
    </row>
    <row r="10" spans="2:18" ht="22.5" customHeight="1" x14ac:dyDescent="0.25">
      <c r="B10" s="369" t="s">
        <v>497</v>
      </c>
      <c r="C10" s="473" t="e">
        <f>C9/E12</f>
        <v>#DIV/0!</v>
      </c>
      <c r="E10" s="366" t="s">
        <v>498</v>
      </c>
      <c r="F10" s="367">
        <f>'rent summary'!D8+'rent summary'!D18</f>
        <v>0</v>
      </c>
      <c r="G10" s="368">
        <f>('rent summary'!C8+'rent summary'!C18)/2</f>
        <v>0</v>
      </c>
      <c r="R10" s="355"/>
    </row>
    <row r="11" spans="2:18" ht="22.5" customHeight="1" x14ac:dyDescent="0.25">
      <c r="B11" s="371" t="s">
        <v>499</v>
      </c>
      <c r="C11" s="474" t="e">
        <f>C9/E4</f>
        <v>#DIV/0!</v>
      </c>
      <c r="D11" s="372"/>
      <c r="E11" s="373" t="s">
        <v>500</v>
      </c>
      <c r="F11" s="374">
        <f>'rent summary'!D9+'rent summary'!D19</f>
        <v>0</v>
      </c>
      <c r="G11" s="375">
        <f>('rent summary'!C9+'rent summary'!C19)/2</f>
        <v>0</v>
      </c>
      <c r="R11" s="355"/>
    </row>
    <row r="12" spans="2:18" ht="37.5" customHeight="1" x14ac:dyDescent="0.25">
      <c r="B12" s="376" t="s">
        <v>501</v>
      </c>
      <c r="C12" s="377">
        <f>'sources-uses'!C34</f>
        <v>0</v>
      </c>
      <c r="D12" s="362" t="s">
        <v>502</v>
      </c>
      <c r="E12" s="597">
        <f>rents!R105</f>
        <v>0</v>
      </c>
      <c r="F12" s="597"/>
      <c r="G12" s="598"/>
      <c r="R12" s="355"/>
    </row>
    <row r="13" spans="2:18" ht="24.75" customHeight="1" x14ac:dyDescent="0.25">
      <c r="B13" s="376" t="s">
        <v>497</v>
      </c>
      <c r="C13" s="378" t="e">
        <f>C12/E12</f>
        <v>#DIV/0!</v>
      </c>
      <c r="D13" s="362" t="s">
        <v>503</v>
      </c>
      <c r="E13" s="597">
        <f>rents!R103</f>
        <v>0</v>
      </c>
      <c r="F13" s="597"/>
      <c r="G13" s="598"/>
      <c r="R13" s="355"/>
    </row>
    <row r="14" spans="2:18" ht="24.75" customHeight="1" x14ac:dyDescent="0.25">
      <c r="B14" s="379" t="s">
        <v>499</v>
      </c>
      <c r="C14" s="380" t="e">
        <f>C12/E4</f>
        <v>#DIV/0!</v>
      </c>
      <c r="D14" s="363" t="s">
        <v>504</v>
      </c>
      <c r="E14" s="599">
        <f>rents!AM101</f>
        <v>0</v>
      </c>
      <c r="F14" s="599"/>
      <c r="G14" s="600"/>
      <c r="R14" s="355"/>
    </row>
    <row r="15" spans="2:18" ht="34.5" customHeight="1" x14ac:dyDescent="0.25">
      <c r="B15" s="381" t="s">
        <v>505</v>
      </c>
      <c r="C15" s="601" t="e">
        <f>'Housing w Services'!E34</f>
        <v>#DIV/0!</v>
      </c>
      <c r="D15" s="382" t="s">
        <v>506</v>
      </c>
      <c r="E15" s="602">
        <f>'Housing w Services'!D8</f>
        <v>0</v>
      </c>
      <c r="F15" s="602"/>
      <c r="G15" s="603"/>
      <c r="R15" s="355"/>
    </row>
    <row r="16" spans="2:18" ht="2.25" customHeight="1" x14ac:dyDescent="0.25">
      <c r="B16" s="383" t="str">
        <f>IF('Housing w Services'!E31="","",'Housing w Services'!E31)</f>
        <v/>
      </c>
      <c r="C16" s="588"/>
      <c r="D16" s="384"/>
      <c r="E16" s="385"/>
      <c r="F16" s="385"/>
      <c r="G16" s="386"/>
      <c r="R16" s="355"/>
    </row>
    <row r="17" spans="2:18" ht="31.5" customHeight="1" x14ac:dyDescent="0.25">
      <c r="B17" s="565" t="s">
        <v>507</v>
      </c>
      <c r="C17" s="588" t="e">
        <f>'Housing w Services'!E41</f>
        <v>#DIV/0!</v>
      </c>
      <c r="D17" s="387" t="s">
        <v>508</v>
      </c>
      <c r="E17" s="590">
        <v>0</v>
      </c>
      <c r="F17" s="590"/>
      <c r="G17" s="591"/>
      <c r="R17" s="355"/>
    </row>
    <row r="18" spans="2:18" ht="10.15" customHeight="1" x14ac:dyDescent="0.25">
      <c r="B18" s="587"/>
      <c r="C18" s="589"/>
      <c r="D18" s="388"/>
      <c r="E18" s="389"/>
      <c r="F18" s="389"/>
      <c r="G18" s="390"/>
      <c r="R18" s="355"/>
    </row>
    <row r="19" spans="2:18" ht="15.6" customHeight="1" x14ac:dyDescent="0.25">
      <c r="B19" s="376" t="s">
        <v>509</v>
      </c>
      <c r="C19" s="377">
        <f>assumptions!B15</f>
        <v>0</v>
      </c>
      <c r="D19" s="391" t="s">
        <v>510</v>
      </c>
      <c r="E19" s="580">
        <f>assumptions!D82</f>
        <v>0</v>
      </c>
      <c r="F19" s="580"/>
      <c r="G19" s="581"/>
      <c r="R19" s="355"/>
    </row>
    <row r="20" spans="2:18" ht="15.6" customHeight="1" x14ac:dyDescent="0.25">
      <c r="B20" s="376" t="s">
        <v>511</v>
      </c>
      <c r="C20" s="378">
        <f>IF(C19=0,0,C19/E4)</f>
        <v>0</v>
      </c>
      <c r="D20" s="391" t="s">
        <v>512</v>
      </c>
      <c r="E20" s="592" t="str">
        <f>assumptions!B13</f>
        <v>Average Income Test</v>
      </c>
      <c r="F20" s="592"/>
      <c r="G20" s="593"/>
      <c r="R20" s="355"/>
    </row>
    <row r="21" spans="2:18" ht="15.6" customHeight="1" x14ac:dyDescent="0.25">
      <c r="B21" s="379" t="s">
        <v>513</v>
      </c>
      <c r="C21" s="392" t="str">
        <f>IF('credit calcs'!C99=130%,"Yes","No")</f>
        <v>No</v>
      </c>
      <c r="D21" s="393" t="s">
        <v>514</v>
      </c>
      <c r="E21" s="594">
        <f>'credit calcs'!C99</f>
        <v>1</v>
      </c>
      <c r="F21" s="594"/>
      <c r="G21" s="595"/>
      <c r="R21" s="355"/>
    </row>
    <row r="22" spans="2:18" ht="31.15" customHeight="1" x14ac:dyDescent="0.25">
      <c r="B22" s="364" t="s">
        <v>515</v>
      </c>
      <c r="C22" s="394" t="str">
        <f>IF(F22="N/A","N/A",assumptions!B50/5/0.9)</f>
        <v>N/A</v>
      </c>
      <c r="D22" s="395" t="s">
        <v>516</v>
      </c>
      <c r="E22" s="396"/>
      <c r="F22" s="576" t="str">
        <f>IF(assumptions!B50=0,"N/A",assumptions!B50)</f>
        <v>N/A</v>
      </c>
      <c r="G22" s="577"/>
      <c r="R22" s="355"/>
    </row>
    <row r="23" spans="2:18" s="400" customFormat="1" ht="15.6" customHeight="1" x14ac:dyDescent="0.2">
      <c r="B23" s="397" t="str">
        <f>assumptions!A21</f>
        <v>Other Permanent Debt</v>
      </c>
      <c r="C23" s="398">
        <f>IF(OR(assumptions!A21="VHFA Tax Exempt Permanent Debt",assumptions!A21="VHFA Taxable Permanent Debt",assumptions!A21="VHFA Special Debt"),assumptions!B21,0)</f>
        <v>0</v>
      </c>
      <c r="D23" s="399" t="s">
        <v>517</v>
      </c>
      <c r="E23" s="578" t="str" cm="1">
        <f t="array" ref="E23">_xlfn.IFS(assumptions!E4=C94,C68,assumptions!E4=1%,C66,assumptions!E4=1.5%,C67)</f>
        <v>Inc 1%, Exp 2.5%, Vac 5%</v>
      </c>
      <c r="F23" s="578"/>
      <c r="G23" s="579"/>
    </row>
    <row r="24" spans="2:18" s="400" customFormat="1" ht="15.6" customHeight="1" x14ac:dyDescent="0.2">
      <c r="B24" s="376" t="s">
        <v>518</v>
      </c>
      <c r="C24" s="401" t="str">
        <f>IF(C23=0,"N/A",assumptions!F21)</f>
        <v>N/A</v>
      </c>
      <c r="D24" s="391" t="s">
        <v>519</v>
      </c>
      <c r="E24" s="580" t="str" cm="1">
        <f t="array" ref="E24">_xlfn.IFS(J2=0,"TBD",assumptions!B22=0,"N/A",assumptions!B22&gt;0,assumptions!B22/K3)</f>
        <v>TBD</v>
      </c>
      <c r="F24" s="580"/>
      <c r="G24" s="581"/>
    </row>
    <row r="25" spans="2:18" s="400" customFormat="1" ht="15.6" customHeight="1" x14ac:dyDescent="0.2">
      <c r="B25" s="376" t="s">
        <v>520</v>
      </c>
      <c r="C25" s="401" t="str">
        <f>IF(C23=0,"N/A",assumptions!E21)</f>
        <v>N/A</v>
      </c>
      <c r="D25" s="391" t="s">
        <v>521</v>
      </c>
      <c r="E25" s="582" t="str">
        <f>IF(cashflows!C12=0,"TBD",cashflows!C8/cashflows!C12)</f>
        <v>TBD</v>
      </c>
      <c r="F25" s="582"/>
      <c r="G25" s="583"/>
    </row>
    <row r="26" spans="2:18" s="400" customFormat="1" ht="13.9" customHeight="1" x14ac:dyDescent="0.2">
      <c r="B26" s="584" t="s">
        <v>522</v>
      </c>
      <c r="C26" s="585" t="str">
        <f>IF(cashflows!C22&lt;&gt;"N/A",AVERAGE(cashflows!C22:L22),"N/A")</f>
        <v>N/A</v>
      </c>
      <c r="D26" s="586" t="s">
        <v>84</v>
      </c>
      <c r="E26" s="582" t="str">
        <f>cashflows!C22</f>
        <v>N/A</v>
      </c>
      <c r="F26" s="582"/>
      <c r="G26" s="583"/>
    </row>
    <row r="27" spans="2:18" ht="20.25" customHeight="1" x14ac:dyDescent="0.25">
      <c r="B27" s="584"/>
      <c r="C27" s="585"/>
      <c r="D27" s="586"/>
      <c r="E27" s="582"/>
      <c r="F27" s="582"/>
      <c r="G27" s="583"/>
      <c r="R27" s="355"/>
    </row>
    <row r="28" spans="2:18" ht="21.6" customHeight="1" x14ac:dyDescent="0.25">
      <c r="B28" s="564" t="s">
        <v>523</v>
      </c>
      <c r="C28" s="566">
        <f>IF(OR(assumptions!A67='VHFA Use'!C59,assumptions!A67='VHFA Use'!C60),assumptions!B67,0)</f>
        <v>0</v>
      </c>
      <c r="D28" s="568" t="s">
        <v>524</v>
      </c>
      <c r="E28" s="570">
        <f>IF(C28&lt;&gt;"N/A",assumptions!D67,"N/A")</f>
        <v>0</v>
      </c>
      <c r="F28" s="572" t="s">
        <v>518</v>
      </c>
      <c r="G28" s="574">
        <f>IF(E28&lt;&gt;"N/A",assumptions!E67,"N/A")</f>
        <v>0</v>
      </c>
      <c r="R28" s="355"/>
    </row>
    <row r="29" spans="2:18" ht="34.15" customHeight="1" x14ac:dyDescent="0.25">
      <c r="B29" s="565"/>
      <c r="C29" s="567"/>
      <c r="D29" s="569"/>
      <c r="E29" s="571"/>
      <c r="F29" s="573"/>
      <c r="G29" s="575"/>
      <c r="R29" s="355"/>
    </row>
    <row r="30" spans="2:18" ht="28.9" customHeight="1" x14ac:dyDescent="0.25">
      <c r="B30" s="402" t="s">
        <v>525</v>
      </c>
      <c r="C30" s="403" t="str">
        <f>IF(assumptions!A68="VHFA Equity Bridge Loan",assumptions!B68,"N/A")</f>
        <v>N/A</v>
      </c>
      <c r="D30" s="404" t="s">
        <v>524</v>
      </c>
      <c r="E30" s="405" t="str">
        <f>IF(C30&lt;&gt;"N/A",assumptions!D68,"N/A")</f>
        <v>N/A</v>
      </c>
      <c r="F30" s="406" t="s">
        <v>518</v>
      </c>
      <c r="G30" s="407" t="str">
        <f>IF(E30&lt;&gt;"N/A",assumptions!E68,"N/A")</f>
        <v>N/A</v>
      </c>
      <c r="R30" s="355"/>
    </row>
    <row r="31" spans="2:18" ht="4.5" customHeight="1" x14ac:dyDescent="0.25">
      <c r="B31" s="561" t="s">
        <v>526</v>
      </c>
      <c r="C31" s="408"/>
      <c r="D31" s="409"/>
      <c r="E31" s="410"/>
      <c r="F31" s="411"/>
      <c r="G31" s="412"/>
      <c r="R31" s="355"/>
    </row>
    <row r="32" spans="2:18" ht="36.75" customHeight="1" thickBot="1" x14ac:dyDescent="0.3">
      <c r="B32" s="562"/>
      <c r="C32" s="413" t="str">
        <f>IF(assumptions!B22=0,"N/A",assumptions!B22)</f>
        <v>N/A</v>
      </c>
      <c r="D32" s="414" t="s">
        <v>524</v>
      </c>
      <c r="E32" s="415" t="str">
        <f>IF(assumptions!B22=0,"N/A",assumptions!D22)</f>
        <v>N/A</v>
      </c>
      <c r="F32" s="416" t="s">
        <v>518</v>
      </c>
      <c r="G32" s="417" t="str">
        <f>IF(assumptions!B22=0,"N/A",assumptions!F22)</f>
        <v>N/A</v>
      </c>
      <c r="R32" s="355"/>
    </row>
    <row r="33" spans="2:18" ht="17.25" hidden="1" customHeight="1" x14ac:dyDescent="0.25">
      <c r="B33" s="364" t="s">
        <v>527</v>
      </c>
      <c r="D33" s="395"/>
      <c r="F33" s="418"/>
      <c r="G33" s="419"/>
      <c r="R33" s="420" t="s">
        <v>528</v>
      </c>
    </row>
    <row r="34" spans="2:18" ht="37.5" hidden="1" customHeight="1" x14ac:dyDescent="0.25">
      <c r="B34" s="421" t="str">
        <f>assumptions!A21</f>
        <v>Other Permanent Debt</v>
      </c>
      <c r="C34" s="422" t="str">
        <f>assumptions!C21</f>
        <v>N/A</v>
      </c>
      <c r="D34" s="423" t="str">
        <f>assumptions!A22</f>
        <v>Housing Investments for Vermont (HIVE)</v>
      </c>
      <c r="E34" s="559" t="str">
        <f>assumptions!C22</f>
        <v>N/A</v>
      </c>
      <c r="F34" s="559"/>
      <c r="G34" s="560"/>
      <c r="R34" s="358" t="s">
        <v>44</v>
      </c>
    </row>
    <row r="35" spans="2:18" ht="22.5" hidden="1" customHeight="1" x14ac:dyDescent="0.25">
      <c r="B35" s="421" t="str">
        <f>assumptions!A33</f>
        <v>Energy Incentives</v>
      </c>
      <c r="C35" s="422" t="str">
        <f>assumptions!C33</f>
        <v>N/A</v>
      </c>
      <c r="D35" s="423" t="str">
        <f>assumptions!A34</f>
        <v>Deferred Developer Fee</v>
      </c>
      <c r="E35" s="559" t="str">
        <f>assumptions!C34</f>
        <v>N/A</v>
      </c>
      <c r="F35" s="559"/>
      <c r="G35" s="560"/>
    </row>
    <row r="36" spans="2:18" ht="22.5" hidden="1" customHeight="1" x14ac:dyDescent="0.25">
      <c r="B36" s="421" t="str">
        <f>assumptions!A27</f>
        <v>AHP</v>
      </c>
      <c r="C36" s="422" t="str">
        <f>assumptions!C27</f>
        <v>N/A</v>
      </c>
      <c r="D36" s="423" t="str">
        <f>assumptions!A46</f>
        <v>Existing Cash Accounts</v>
      </c>
      <c r="E36" s="559" t="str">
        <f>assumptions!C46</f>
        <v>N/A</v>
      </c>
      <c r="F36" s="559"/>
      <c r="G36" s="560"/>
      <c r="R36" s="358" t="s">
        <v>529</v>
      </c>
    </row>
    <row r="37" spans="2:18" ht="22.5" hidden="1" customHeight="1" x14ac:dyDescent="0.25">
      <c r="B37" s="421" t="str">
        <f>assumptions!A28</f>
        <v>HOME</v>
      </c>
      <c r="C37" s="422" t="str">
        <f>assumptions!C28</f>
        <v>N/A</v>
      </c>
      <c r="D37" s="423" t="str">
        <f>assumptions!A32</f>
        <v>VHCB Feasibility</v>
      </c>
      <c r="E37" s="559" t="str">
        <f>assumptions!C32</f>
        <v>N/A</v>
      </c>
      <c r="F37" s="559"/>
      <c r="G37" s="560"/>
      <c r="R37" s="358" t="s">
        <v>530</v>
      </c>
    </row>
    <row r="38" spans="2:18" ht="22.5" hidden="1" customHeight="1" x14ac:dyDescent="0.25">
      <c r="B38" s="421" t="str">
        <f>assumptions!A30</f>
        <v>VCDP</v>
      </c>
      <c r="C38" s="422" t="str">
        <f>assumptions!C30</f>
        <v>N/A</v>
      </c>
      <c r="D38" s="423" t="str">
        <f>assumptions!A47</f>
        <v>Investment Tax Credit</v>
      </c>
      <c r="E38" s="563" t="str">
        <f>assumptions!C47</f>
        <v>N/A</v>
      </c>
      <c r="F38" s="563"/>
      <c r="G38" s="560"/>
    </row>
    <row r="39" spans="2:18" ht="22.5" hidden="1" customHeight="1" x14ac:dyDescent="0.25">
      <c r="B39" s="421" t="str">
        <f>assumptions!A31</f>
        <v>VHCB</v>
      </c>
      <c r="C39" s="422" t="str">
        <f>assumptions!C31</f>
        <v>N/A</v>
      </c>
      <c r="D39" s="423" t="str">
        <f>assumptions!A48</f>
        <v>Historic Credit Equity</v>
      </c>
      <c r="E39" s="559" t="str">
        <f>assumptions!C48</f>
        <v>N/A</v>
      </c>
      <c r="F39" s="559"/>
      <c r="G39" s="560"/>
    </row>
    <row r="40" spans="2:18" ht="37.5" hidden="1" customHeight="1" x14ac:dyDescent="0.25">
      <c r="B40" s="421" t="str">
        <f>assumptions!A49</f>
        <v>VHFA - Federal Tax Credit Equity</v>
      </c>
      <c r="C40" s="422" t="str">
        <f>assumptions!C49</f>
        <v>N/A</v>
      </c>
      <c r="D40" s="423" t="str">
        <f>assumptions!A50</f>
        <v>VHFA - VT State Tax Credit Equity</v>
      </c>
      <c r="E40" s="559" t="str">
        <f>assumptions!C50</f>
        <v>N/A</v>
      </c>
      <c r="F40" s="559"/>
      <c r="G40" s="560"/>
    </row>
    <row r="41" spans="2:18" ht="16.5" hidden="1" thickBot="1" x14ac:dyDescent="0.3">
      <c r="B41" s="424"/>
      <c r="C41" s="425"/>
      <c r="D41" s="426"/>
      <c r="E41" s="425"/>
      <c r="F41" s="425"/>
      <c r="G41" s="427"/>
    </row>
    <row r="42" spans="2:18" ht="16.5" thickBot="1" x14ac:dyDescent="0.3"/>
    <row r="43" spans="2:18" hidden="1" outlineLevel="1" x14ac:dyDescent="0.25"/>
    <row r="44" spans="2:18" hidden="1" outlineLevel="1" x14ac:dyDescent="0.25"/>
    <row r="45" spans="2:18" hidden="1" outlineLevel="1" x14ac:dyDescent="0.25"/>
    <row r="46" spans="2:18" hidden="1" outlineLevel="1" x14ac:dyDescent="0.25"/>
    <row r="47" spans="2:18" hidden="1" outlineLevel="1" x14ac:dyDescent="0.25"/>
    <row r="48" spans="2:18" hidden="1" outlineLevel="1" x14ac:dyDescent="0.25"/>
    <row r="49" spans="2:3" hidden="1" outlineLevel="1" x14ac:dyDescent="0.25"/>
    <row r="50" spans="2:3" hidden="1" outlineLevel="1" x14ac:dyDescent="0.25"/>
    <row r="51" spans="2:3" hidden="1" outlineLevel="1" x14ac:dyDescent="0.25">
      <c r="B51" s="428" t="s">
        <v>531</v>
      </c>
      <c r="C51" s="428" t="s">
        <v>531</v>
      </c>
    </row>
    <row r="52" spans="2:3" hidden="1" outlineLevel="1" x14ac:dyDescent="0.25">
      <c r="B52" s="355"/>
      <c r="C52" s="358" t="s">
        <v>532</v>
      </c>
    </row>
    <row r="53" spans="2:3" ht="30" hidden="1" outlineLevel="1" x14ac:dyDescent="0.25">
      <c r="B53" s="355"/>
      <c r="C53" s="358" t="s">
        <v>533</v>
      </c>
    </row>
    <row r="54" spans="2:3" ht="30" hidden="1" outlineLevel="1" x14ac:dyDescent="0.25">
      <c r="B54" s="355"/>
      <c r="C54" s="358" t="s">
        <v>534</v>
      </c>
    </row>
    <row r="55" spans="2:3" hidden="1" outlineLevel="1" x14ac:dyDescent="0.25">
      <c r="B55" s="355"/>
      <c r="C55" s="358" t="s">
        <v>535</v>
      </c>
    </row>
    <row r="56" spans="2:3" hidden="1" outlineLevel="1" x14ac:dyDescent="0.25">
      <c r="B56" s="355"/>
      <c r="C56" s="358" t="s">
        <v>59</v>
      </c>
    </row>
    <row r="57" spans="2:3" hidden="1" outlineLevel="1" x14ac:dyDescent="0.25">
      <c r="B57" s="355"/>
      <c r="C57" s="358" t="s">
        <v>536</v>
      </c>
    </row>
    <row r="58" spans="2:3" hidden="1" outlineLevel="1" x14ac:dyDescent="0.25">
      <c r="B58" s="355"/>
      <c r="C58" s="358" t="s">
        <v>537</v>
      </c>
    </row>
    <row r="59" spans="2:3" ht="30" hidden="1" outlineLevel="1" x14ac:dyDescent="0.25">
      <c r="B59" s="355"/>
      <c r="C59" s="420" t="s">
        <v>90</v>
      </c>
    </row>
    <row r="60" spans="2:3" ht="30" hidden="1" outlineLevel="1" x14ac:dyDescent="0.25">
      <c r="B60" s="355"/>
      <c r="C60" s="420" t="s">
        <v>538</v>
      </c>
    </row>
    <row r="61" spans="2:3" hidden="1" outlineLevel="1" x14ac:dyDescent="0.25">
      <c r="B61" s="355"/>
      <c r="C61" s="358" t="s">
        <v>539</v>
      </c>
    </row>
    <row r="62" spans="2:3" hidden="1" outlineLevel="1" x14ac:dyDescent="0.25">
      <c r="B62" s="355"/>
      <c r="C62" s="358" t="s">
        <v>540</v>
      </c>
    </row>
    <row r="63" spans="2:3" hidden="1" outlineLevel="1" x14ac:dyDescent="0.25">
      <c r="B63" s="355"/>
      <c r="C63" s="358" t="s">
        <v>541</v>
      </c>
    </row>
    <row r="64" spans="2:3" hidden="1" outlineLevel="1" x14ac:dyDescent="0.25">
      <c r="B64" s="355"/>
      <c r="C64" s="358" t="s">
        <v>92</v>
      </c>
    </row>
    <row r="65" spans="2:4" hidden="1" outlineLevel="1" x14ac:dyDescent="0.25">
      <c r="B65" s="355"/>
      <c r="C65" s="358" t="s">
        <v>536</v>
      </c>
    </row>
    <row r="66" spans="2:4" hidden="1" outlineLevel="1" x14ac:dyDescent="0.25">
      <c r="B66" s="355"/>
      <c r="C66" s="358" t="s">
        <v>542</v>
      </c>
    </row>
    <row r="67" spans="2:4" hidden="1" outlineLevel="1" x14ac:dyDescent="0.25">
      <c r="B67" s="355"/>
      <c r="C67" s="358" t="s">
        <v>543</v>
      </c>
    </row>
    <row r="68" spans="2:4" hidden="1" outlineLevel="1" x14ac:dyDescent="0.25">
      <c r="B68" s="355"/>
      <c r="C68" s="358" t="s">
        <v>544</v>
      </c>
    </row>
    <row r="69" spans="2:4" hidden="1" outlineLevel="1" x14ac:dyDescent="0.25">
      <c r="B69" s="355"/>
      <c r="C69" s="358" t="s">
        <v>241</v>
      </c>
      <c r="D69" s="106">
        <v>0</v>
      </c>
    </row>
    <row r="70" spans="2:4" hidden="1" outlineLevel="1" x14ac:dyDescent="0.25">
      <c r="B70" s="355"/>
      <c r="C70" s="358" t="s">
        <v>545</v>
      </c>
      <c r="D70" s="106">
        <v>1</v>
      </c>
    </row>
    <row r="71" spans="2:4" hidden="1" outlineLevel="1" x14ac:dyDescent="0.25">
      <c r="B71" s="355"/>
      <c r="C71" s="358"/>
    </row>
    <row r="72" spans="2:4" hidden="1" outlineLevel="1" x14ac:dyDescent="0.25">
      <c r="B72" s="355"/>
      <c r="C72" s="429" t="s">
        <v>546</v>
      </c>
    </row>
    <row r="73" spans="2:4" hidden="1" outlineLevel="1" x14ac:dyDescent="0.25">
      <c r="B73" s="400"/>
      <c r="C73" s="430" t="s">
        <v>547</v>
      </c>
    </row>
    <row r="74" spans="2:4" hidden="1" outlineLevel="1" x14ac:dyDescent="0.25">
      <c r="B74" s="400"/>
      <c r="C74" s="431" t="s">
        <v>51</v>
      </c>
    </row>
    <row r="75" spans="2:4" hidden="1" outlineLevel="1" x14ac:dyDescent="0.25">
      <c r="B75" s="431">
        <v>0.09</v>
      </c>
      <c r="C75" s="431">
        <v>0.04</v>
      </c>
    </row>
    <row r="76" spans="2:4" hidden="1" outlineLevel="1" x14ac:dyDescent="0.25">
      <c r="B76" s="431"/>
      <c r="C76" s="355" t="s">
        <v>548</v>
      </c>
    </row>
    <row r="77" spans="2:4" hidden="1" outlineLevel="1" x14ac:dyDescent="0.25">
      <c r="B77" s="431"/>
      <c r="C77" s="431" t="s">
        <v>529</v>
      </c>
    </row>
    <row r="78" spans="2:4" hidden="1" outlineLevel="1" x14ac:dyDescent="0.25">
      <c r="B78" s="431"/>
      <c r="C78" s="431" t="s">
        <v>530</v>
      </c>
    </row>
    <row r="79" spans="2:4" hidden="1" outlineLevel="1" x14ac:dyDescent="0.25">
      <c r="B79" s="431"/>
      <c r="C79" s="431"/>
    </row>
    <row r="80" spans="2:4" ht="30" hidden="1" outlineLevel="1" x14ac:dyDescent="0.25">
      <c r="B80" s="400"/>
      <c r="C80" s="432" t="s">
        <v>549</v>
      </c>
    </row>
    <row r="81" spans="2:6" hidden="1" outlineLevel="1" x14ac:dyDescent="0.25">
      <c r="B81" s="355"/>
      <c r="C81" s="432" t="s">
        <v>214</v>
      </c>
    </row>
    <row r="82" spans="2:6" hidden="1" outlineLevel="1" x14ac:dyDescent="0.25">
      <c r="B82" s="355"/>
      <c r="C82" s="358" t="s">
        <v>550</v>
      </c>
    </row>
    <row r="83" spans="2:6" hidden="1" outlineLevel="1" x14ac:dyDescent="0.25">
      <c r="B83" s="355"/>
      <c r="C83" s="358"/>
    </row>
    <row r="84" spans="2:6" hidden="1" outlineLevel="1" x14ac:dyDescent="0.25">
      <c r="B84" s="355"/>
      <c r="C84" s="358" t="s">
        <v>44</v>
      </c>
    </row>
    <row r="85" spans="2:6" hidden="1" outlineLevel="1" x14ac:dyDescent="0.25">
      <c r="B85" s="355"/>
      <c r="C85" s="420" t="s">
        <v>528</v>
      </c>
    </row>
    <row r="86" spans="2:6" hidden="1" outlineLevel="1" x14ac:dyDescent="0.25">
      <c r="B86" s="355"/>
      <c r="C86" s="420" t="s">
        <v>551</v>
      </c>
    </row>
    <row r="87" spans="2:6" hidden="1" outlineLevel="1" x14ac:dyDescent="0.25">
      <c r="C87" s="433">
        <v>0.01</v>
      </c>
    </row>
    <row r="88" spans="2:6" hidden="1" outlineLevel="1" x14ac:dyDescent="0.25">
      <c r="C88" s="433">
        <v>1.4999999999999999E-2</v>
      </c>
    </row>
    <row r="89" spans="2:6" hidden="1" outlineLevel="1" x14ac:dyDescent="0.25">
      <c r="C89" s="433" t="s">
        <v>552</v>
      </c>
    </row>
    <row r="90" spans="2:6" hidden="1" outlineLevel="1" x14ac:dyDescent="0.25">
      <c r="C90" s="433">
        <v>2.5000000000000001E-2</v>
      </c>
    </row>
    <row r="91" spans="2:6" hidden="1" outlineLevel="1" x14ac:dyDescent="0.25">
      <c r="C91" s="433">
        <v>0.03</v>
      </c>
    </row>
    <row r="92" spans="2:6" hidden="1" outlineLevel="1" x14ac:dyDescent="0.25">
      <c r="C92" s="433" t="s">
        <v>552</v>
      </c>
    </row>
    <row r="93" spans="2:6" hidden="1" outlineLevel="1" x14ac:dyDescent="0.25">
      <c r="C93" s="433">
        <v>0.05</v>
      </c>
    </row>
    <row r="94" spans="2:6" ht="16.5" hidden="1" outlineLevel="1" thickBot="1" x14ac:dyDescent="0.3">
      <c r="C94" s="434" t="s">
        <v>552</v>
      </c>
    </row>
    <row r="95" spans="2:6" collapsed="1" x14ac:dyDescent="0.25">
      <c r="B95" s="435" t="s">
        <v>553</v>
      </c>
      <c r="C95" s="436" t="s">
        <v>274</v>
      </c>
      <c r="D95" s="437" t="s">
        <v>554</v>
      </c>
      <c r="E95" s="436" t="s">
        <v>555</v>
      </c>
      <c r="F95" s="438" t="s">
        <v>556</v>
      </c>
    </row>
    <row r="96" spans="2:6" x14ac:dyDescent="0.25">
      <c r="B96" s="439"/>
      <c r="C96" s="95" t="s">
        <v>190</v>
      </c>
      <c r="D96" s="440">
        <v>0.12</v>
      </c>
      <c r="E96" s="95">
        <v>1500000</v>
      </c>
      <c r="F96" s="419">
        <f>assumptions!$B$4</f>
        <v>0</v>
      </c>
    </row>
    <row r="97" spans="2:6" x14ac:dyDescent="0.25">
      <c r="B97" s="439"/>
      <c r="C97" s="95" t="s">
        <v>557</v>
      </c>
      <c r="D97" s="440">
        <v>0.12</v>
      </c>
      <c r="E97" s="95">
        <v>1000000</v>
      </c>
      <c r="F97" s="419">
        <f>assumptions!$B$4</f>
        <v>0</v>
      </c>
    </row>
    <row r="98" spans="2:6" x14ac:dyDescent="0.25">
      <c r="B98" s="439"/>
      <c r="C98" s="95" t="s">
        <v>558</v>
      </c>
      <c r="D98" s="440">
        <v>0.15</v>
      </c>
      <c r="E98" s="434">
        <v>1500000</v>
      </c>
      <c r="F98" s="419">
        <f>assumptions!$B$4</f>
        <v>0</v>
      </c>
    </row>
    <row r="99" spans="2:6" x14ac:dyDescent="0.25">
      <c r="B99" s="439"/>
      <c r="C99" s="95" t="s">
        <v>559</v>
      </c>
      <c r="D99" s="440">
        <v>0.12</v>
      </c>
      <c r="E99" s="95">
        <v>1500000</v>
      </c>
      <c r="F99" s="419">
        <f>assumptions!$B$4</f>
        <v>0</v>
      </c>
    </row>
    <row r="100" spans="2:6" x14ac:dyDescent="0.25">
      <c r="B100" s="439"/>
      <c r="C100" s="95" t="s">
        <v>560</v>
      </c>
      <c r="D100" s="440">
        <v>0.12</v>
      </c>
      <c r="E100" s="95">
        <v>1000000</v>
      </c>
      <c r="F100" s="419">
        <f>assumptions!$B$4</f>
        <v>0</v>
      </c>
    </row>
    <row r="101" spans="2:6" x14ac:dyDescent="0.25">
      <c r="B101" s="439"/>
      <c r="C101" s="95" t="s">
        <v>561</v>
      </c>
      <c r="D101" s="440">
        <v>0.15</v>
      </c>
      <c r="E101" s="95">
        <v>1000000</v>
      </c>
      <c r="F101" s="419">
        <f>assumptions!$B$4</f>
        <v>0</v>
      </c>
    </row>
    <row r="102" spans="2:6" ht="16.5" thickBot="1" x14ac:dyDescent="0.3">
      <c r="B102" s="424"/>
      <c r="C102" s="425" t="s">
        <v>562</v>
      </c>
      <c r="D102" s="441">
        <v>0.15</v>
      </c>
      <c r="E102" s="425">
        <v>1000000</v>
      </c>
      <c r="F102" s="427">
        <f>assumptions!$B$4</f>
        <v>0</v>
      </c>
    </row>
  </sheetData>
  <sheetProtection algorithmName="SHA-512" hashValue="MRv66uozVedv7WIA6jUyTzi8Y8n1DPwKDMQpGrcXBXlfq6P8jfjgc5oL9EDfPyjCF8E0QVYO9h6J0iTMfedxvw==" saltValue="9X5GS8jmW+/dUvxT+eBCFw==" spinCount="100000" sheet="1" formatColumns="0" formatRows="0"/>
  <mergeCells count="44">
    <mergeCell ref="B6:B7"/>
    <mergeCell ref="C6:C7"/>
    <mergeCell ref="D6:D7"/>
    <mergeCell ref="E6:E7"/>
    <mergeCell ref="F6:F7"/>
    <mergeCell ref="E3:G3"/>
    <mergeCell ref="B4:B5"/>
    <mergeCell ref="C4:C5"/>
    <mergeCell ref="E4:G4"/>
    <mergeCell ref="E5:G5"/>
    <mergeCell ref="G6:G7"/>
    <mergeCell ref="E12:G12"/>
    <mergeCell ref="E13:G13"/>
    <mergeCell ref="E14:G14"/>
    <mergeCell ref="C15:C16"/>
    <mergeCell ref="E15:G15"/>
    <mergeCell ref="B26:B27"/>
    <mergeCell ref="C26:C27"/>
    <mergeCell ref="D26:D27"/>
    <mergeCell ref="E26:G27"/>
    <mergeCell ref="B17:B18"/>
    <mergeCell ref="C17:C18"/>
    <mergeCell ref="E17:G17"/>
    <mergeCell ref="E19:G19"/>
    <mergeCell ref="E20:G20"/>
    <mergeCell ref="E21:G21"/>
    <mergeCell ref="G28:G29"/>
    <mergeCell ref="F22:G22"/>
    <mergeCell ref="E23:G23"/>
    <mergeCell ref="E24:G24"/>
    <mergeCell ref="E25:G25"/>
    <mergeCell ref="B28:B29"/>
    <mergeCell ref="C28:C29"/>
    <mergeCell ref="D28:D29"/>
    <mergeCell ref="E28:E29"/>
    <mergeCell ref="F28:F29"/>
    <mergeCell ref="E39:G39"/>
    <mergeCell ref="E40:G40"/>
    <mergeCell ref="B31:B32"/>
    <mergeCell ref="E34:G34"/>
    <mergeCell ref="E35:G35"/>
    <mergeCell ref="E36:G36"/>
    <mergeCell ref="E37:G37"/>
    <mergeCell ref="E38:G38"/>
  </mergeCells>
  <dataValidations count="1">
    <dataValidation type="list" allowBlank="1" showInputMessage="1" showErrorMessage="1" sqref="C8" xr:uid="{F4936F58-022B-413F-ABFB-F4D408A76636}">
      <formula1>$C$69:$C$70</formula1>
    </dataValidation>
  </dataValidations>
  <pageMargins left="0.7" right="0.7" top="0.75" bottom="0.75" header="0.3" footer="0.3"/>
  <pageSetup scale="60"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82"/>
  <sheetViews>
    <sheetView tabSelected="1" topLeftCell="A40" zoomScaleNormal="100" workbookViewId="0">
      <selection activeCell="H21" sqref="H21:H55"/>
    </sheetView>
  </sheetViews>
  <sheetFormatPr defaultColWidth="8.6640625" defaultRowHeight="15" outlineLevelRow="1" x14ac:dyDescent="0.2"/>
  <cols>
    <col min="1" max="1" width="34.77734375" style="7" customWidth="1"/>
    <col min="2" max="2" width="17.44140625" style="7" customWidth="1"/>
    <col min="3" max="3" width="26" style="7" bestFit="1" customWidth="1"/>
    <col min="4" max="4" width="12" style="7" customWidth="1"/>
    <col min="5" max="5" width="17.109375" style="7" customWidth="1"/>
    <col min="6" max="6" width="13.77734375" style="7" customWidth="1"/>
    <col min="7" max="7" width="23.21875" style="7" customWidth="1"/>
    <col min="8" max="8" width="16.21875" style="7" customWidth="1"/>
    <col min="9" max="16384" width="8.6640625" style="7"/>
  </cols>
  <sheetData>
    <row r="1" spans="1:8" ht="15.75" thickBot="1" x14ac:dyDescent="0.25">
      <c r="A1" s="107" t="s">
        <v>18</v>
      </c>
      <c r="B1" s="142" t="s">
        <v>19</v>
      </c>
      <c r="C1" s="38"/>
      <c r="D1" s="38"/>
      <c r="E1" s="39"/>
      <c r="F1" s="40"/>
      <c r="G1" s="40"/>
      <c r="H1" s="108" t="s">
        <v>20</v>
      </c>
    </row>
    <row r="2" spans="1:8" ht="15.75" thickTop="1" x14ac:dyDescent="0.2">
      <c r="A2" s="41" t="s">
        <v>21</v>
      </c>
      <c r="B2" s="112" t="s">
        <v>22</v>
      </c>
      <c r="C2" s="41"/>
      <c r="D2" s="41"/>
      <c r="E2" s="41"/>
    </row>
    <row r="3" spans="1:8" ht="15" customHeight="1" x14ac:dyDescent="0.2">
      <c r="A3" s="41" t="s">
        <v>23</v>
      </c>
      <c r="B3" s="191"/>
      <c r="C3" s="41"/>
      <c r="D3" s="41"/>
      <c r="E3" s="314"/>
      <c r="F3" s="170" t="s">
        <v>24</v>
      </c>
    </row>
    <row r="4" spans="1:8" s="43" customFormat="1" x14ac:dyDescent="0.2">
      <c r="A4" s="42" t="s">
        <v>25</v>
      </c>
      <c r="B4" s="96">
        <f>rents!B101</f>
        <v>0</v>
      </c>
      <c r="C4" s="519" t="s">
        <v>26</v>
      </c>
      <c r="D4" s="519"/>
      <c r="E4" s="348">
        <v>0.01</v>
      </c>
      <c r="F4" s="615"/>
    </row>
    <row r="5" spans="1:8" x14ac:dyDescent="0.2">
      <c r="A5" s="6" t="s">
        <v>27</v>
      </c>
      <c r="B5" s="96">
        <f>rents!G101</f>
        <v>0</v>
      </c>
      <c r="C5" s="519" t="s">
        <v>28</v>
      </c>
      <c r="D5" s="519"/>
      <c r="E5" s="348">
        <v>0.01</v>
      </c>
      <c r="F5" s="123"/>
    </row>
    <row r="6" spans="1:8" x14ac:dyDescent="0.2">
      <c r="A6" s="6" t="s">
        <v>29</v>
      </c>
      <c r="B6" s="614" t="str">
        <f>IF(B5=0,"N/A",D82)</f>
        <v>N/A</v>
      </c>
      <c r="C6" s="520" t="s">
        <v>30</v>
      </c>
      <c r="D6" s="520"/>
      <c r="E6" s="348">
        <v>0.01</v>
      </c>
      <c r="F6" s="123"/>
    </row>
    <row r="7" spans="1:8" x14ac:dyDescent="0.2">
      <c r="A7" s="6" t="s">
        <v>31</v>
      </c>
      <c r="B7" s="113"/>
      <c r="E7" s="174"/>
      <c r="F7" s="8"/>
    </row>
    <row r="8" spans="1:8" x14ac:dyDescent="0.2">
      <c r="A8" s="6" t="s">
        <v>32</v>
      </c>
      <c r="B8" s="96">
        <f>'sources-uses'!C93</f>
        <v>0</v>
      </c>
      <c r="C8" s="519" t="s">
        <v>33</v>
      </c>
      <c r="D8" s="519"/>
      <c r="E8" s="348">
        <v>2.5000000000000001E-2</v>
      </c>
      <c r="F8" s="123"/>
    </row>
    <row r="9" spans="1:8" x14ac:dyDescent="0.2">
      <c r="A9" s="6" t="s">
        <v>34</v>
      </c>
      <c r="B9" s="99" t="str">
        <f>IF(B8=0,"TBD",'sources-uses'!D93/assumptions!B4)</f>
        <v>TBD</v>
      </c>
      <c r="C9" s="519" t="s">
        <v>35</v>
      </c>
      <c r="D9" s="519"/>
      <c r="E9" s="348">
        <v>0.05</v>
      </c>
      <c r="F9" s="123"/>
    </row>
    <row r="10" spans="1:8" x14ac:dyDescent="0.2">
      <c r="A10" s="6" t="s">
        <v>36</v>
      </c>
      <c r="B10" s="99" t="str">
        <f>IF(B15=0,"N/A",B15/B4)</f>
        <v>N/A</v>
      </c>
      <c r="C10" s="519" t="s">
        <v>37</v>
      </c>
      <c r="D10" s="519"/>
      <c r="E10" s="44">
        <v>0.21</v>
      </c>
      <c r="F10" s="8"/>
      <c r="H10" s="333"/>
    </row>
    <row r="11" spans="1:8" x14ac:dyDescent="0.2">
      <c r="A11" s="6" t="s">
        <v>38</v>
      </c>
      <c r="B11" s="99" t="str">
        <f>IF(B15=0,"N/A",B15/B5)</f>
        <v>N/A</v>
      </c>
      <c r="C11" s="519" t="s">
        <v>39</v>
      </c>
      <c r="D11" s="519"/>
      <c r="E11" s="347">
        <v>27.5</v>
      </c>
      <c r="F11" s="7" t="s">
        <v>40</v>
      </c>
    </row>
    <row r="12" spans="1:8" x14ac:dyDescent="0.2">
      <c r="A12" s="7" t="s">
        <v>41</v>
      </c>
      <c r="B12" s="99" t="str">
        <f>IF(B8=0,"TBD",'sources-uses'!G93)</f>
        <v>TBD</v>
      </c>
      <c r="C12" s="520" t="s">
        <v>42</v>
      </c>
      <c r="D12" s="520"/>
      <c r="E12" s="114">
        <v>15</v>
      </c>
      <c r="F12" s="7" t="s">
        <v>40</v>
      </c>
    </row>
    <row r="13" spans="1:8" x14ac:dyDescent="0.2">
      <c r="A13" s="6" t="s">
        <v>43</v>
      </c>
      <c r="B13" s="189" t="s">
        <v>44</v>
      </c>
      <c r="C13" s="520" t="s">
        <v>45</v>
      </c>
      <c r="D13" s="520"/>
      <c r="E13" s="114">
        <v>5</v>
      </c>
      <c r="F13" s="7" t="s">
        <v>40</v>
      </c>
    </row>
    <row r="14" spans="1:8" x14ac:dyDescent="0.2">
      <c r="A14" s="6" t="s">
        <v>46</v>
      </c>
      <c r="B14" s="99" t="str" cm="1">
        <f t="array" ref="B14">_xlfn.IFS(B8=0,"N/A",B15=0,"N/A",B15&gt;0,'credit calcs'!D104+'credit calcs'!E104)</f>
        <v>N/A</v>
      </c>
      <c r="C14" s="519" t="s">
        <v>47</v>
      </c>
      <c r="D14" s="519"/>
      <c r="E14" s="218" t="str">
        <f>IF(B15=0,"N/A",'credit calcs'!C109)</f>
        <v>N/A</v>
      </c>
    </row>
    <row r="15" spans="1:8" x14ac:dyDescent="0.2">
      <c r="A15" s="6" t="s">
        <v>48</v>
      </c>
      <c r="B15" s="114">
        <v>0</v>
      </c>
      <c r="C15" s="45"/>
    </row>
    <row r="16" spans="1:8" x14ac:dyDescent="0.2">
      <c r="A16" s="6" t="s">
        <v>49</v>
      </c>
      <c r="B16" s="353">
        <v>7.4999999999999997E-2</v>
      </c>
      <c r="C16" s="45"/>
    </row>
    <row r="17" spans="1:8" x14ac:dyDescent="0.2">
      <c r="A17" s="6" t="s">
        <v>50</v>
      </c>
      <c r="B17" s="177"/>
      <c r="C17" s="45"/>
    </row>
    <row r="18" spans="1:8" ht="15.75" thickBot="1" x14ac:dyDescent="0.25">
      <c r="A18" s="115" t="s">
        <v>51</v>
      </c>
      <c r="B18" s="183" t="str">
        <f>IF(A18="LIHTC - 9%",0.09,IF(A18="LIHTC - 4%",0.04,"N/A"))</f>
        <v>N/A</v>
      </c>
      <c r="C18" s="45"/>
    </row>
    <row r="19" spans="1:8" ht="16.5" thickTop="1" x14ac:dyDescent="0.25">
      <c r="A19" s="46" t="s">
        <v>563</v>
      </c>
      <c r="B19" s="47"/>
      <c r="C19" s="47"/>
      <c r="D19" s="47"/>
      <c r="E19" s="47"/>
      <c r="F19" s="48"/>
    </row>
    <row r="20" spans="1:8" ht="63.75" x14ac:dyDescent="0.2">
      <c r="A20" s="184" t="s">
        <v>52</v>
      </c>
      <c r="B20" s="41"/>
      <c r="C20" s="9" t="s">
        <v>53</v>
      </c>
      <c r="D20" s="9" t="s">
        <v>54</v>
      </c>
      <c r="E20" s="9" t="s">
        <v>55</v>
      </c>
      <c r="F20" s="9" t="s">
        <v>56</v>
      </c>
      <c r="G20" s="169" t="s">
        <v>57</v>
      </c>
      <c r="H20" s="21" t="s">
        <v>58</v>
      </c>
    </row>
    <row r="21" spans="1:8" x14ac:dyDescent="0.2">
      <c r="A21" s="115" t="s">
        <v>59</v>
      </c>
      <c r="B21" s="121">
        <v>0</v>
      </c>
      <c r="C21" s="190" t="str">
        <f>IF(B21=0,"N/A",B21/'sources-uses'!$C$93)</f>
        <v>N/A</v>
      </c>
      <c r="D21" s="116">
        <v>0</v>
      </c>
      <c r="E21" s="114">
        <v>0</v>
      </c>
      <c r="F21" s="114">
        <v>0</v>
      </c>
      <c r="G21" s="117"/>
      <c r="H21" s="118"/>
    </row>
    <row r="22" spans="1:8" x14ac:dyDescent="0.2">
      <c r="A22" s="6" t="s">
        <v>60</v>
      </c>
      <c r="B22" s="121">
        <v>0</v>
      </c>
      <c r="C22" s="190" t="str">
        <f>IF(B22=0,"N/A",B22/'sources-uses'!$C$93)</f>
        <v>N/A</v>
      </c>
      <c r="D22" s="116">
        <v>0</v>
      </c>
      <c r="E22" s="114">
        <v>0</v>
      </c>
      <c r="F22" s="114">
        <v>0</v>
      </c>
      <c r="G22" s="117"/>
      <c r="H22" s="118"/>
    </row>
    <row r="23" spans="1:8" outlineLevel="1" x14ac:dyDescent="0.2">
      <c r="A23" s="334" t="s">
        <v>61</v>
      </c>
      <c r="B23" s="121">
        <v>0</v>
      </c>
      <c r="C23" s="190" t="str">
        <f>IF(B23=0,"N/A",B23/'sources-uses'!$C$93)</f>
        <v>N/A</v>
      </c>
      <c r="D23" s="116">
        <v>0</v>
      </c>
      <c r="E23" s="114">
        <v>0</v>
      </c>
      <c r="F23" s="114">
        <v>0</v>
      </c>
      <c r="G23" s="117"/>
      <c r="H23" s="118"/>
    </row>
    <row r="24" spans="1:8" outlineLevel="1" x14ac:dyDescent="0.2">
      <c r="A24" s="334" t="s">
        <v>61</v>
      </c>
      <c r="B24" s="121">
        <v>0</v>
      </c>
      <c r="C24" s="190" t="str">
        <f>IF(B24=0,"N/A",B24/'sources-uses'!$C$93)</f>
        <v>N/A</v>
      </c>
      <c r="D24" s="116">
        <v>0</v>
      </c>
      <c r="E24" s="114">
        <v>0</v>
      </c>
      <c r="F24" s="114">
        <v>0</v>
      </c>
      <c r="G24" s="117"/>
      <c r="H24" s="118"/>
    </row>
    <row r="25" spans="1:8" outlineLevel="1" x14ac:dyDescent="0.2">
      <c r="A25" s="334" t="s">
        <v>61</v>
      </c>
      <c r="B25" s="121">
        <v>0</v>
      </c>
      <c r="C25" s="190" t="str">
        <f>IF(B25=0,"N/A",B25/'sources-uses'!$C$93)</f>
        <v>N/A</v>
      </c>
      <c r="D25" s="116">
        <v>0</v>
      </c>
      <c r="E25" s="114">
        <v>0</v>
      </c>
      <c r="F25" s="114">
        <v>0</v>
      </c>
      <c r="G25" s="117"/>
      <c r="H25" s="118"/>
    </row>
    <row r="26" spans="1:8" outlineLevel="1" x14ac:dyDescent="0.2">
      <c r="A26" s="334" t="s">
        <v>61</v>
      </c>
      <c r="B26" s="121">
        <v>0</v>
      </c>
      <c r="C26" s="190" t="str">
        <f>IF(B26=0,"N/A",B26/'sources-uses'!$C$93)</f>
        <v>N/A</v>
      </c>
      <c r="D26" s="116">
        <v>0</v>
      </c>
      <c r="E26" s="114">
        <v>0</v>
      </c>
      <c r="F26" s="114">
        <v>0</v>
      </c>
      <c r="G26" s="117"/>
      <c r="H26" s="118"/>
    </row>
    <row r="27" spans="1:8" x14ac:dyDescent="0.2">
      <c r="A27" s="6" t="s">
        <v>62</v>
      </c>
      <c r="B27" s="121">
        <v>0</v>
      </c>
      <c r="C27" s="190" t="str">
        <f>IF(B27=0,"N/A",B27/'sources-uses'!$C$93)</f>
        <v>N/A</v>
      </c>
      <c r="D27" s="116">
        <v>0</v>
      </c>
      <c r="E27" s="114">
        <v>0</v>
      </c>
      <c r="F27" s="114">
        <v>0</v>
      </c>
      <c r="G27" s="117"/>
      <c r="H27" s="118"/>
    </row>
    <row r="28" spans="1:8" x14ac:dyDescent="0.2">
      <c r="A28" s="6" t="s">
        <v>63</v>
      </c>
      <c r="B28" s="121">
        <v>0</v>
      </c>
      <c r="C28" s="190" t="str">
        <f>IF(B28=0,"N/A",B28/'sources-uses'!$C$93)</f>
        <v>N/A</v>
      </c>
      <c r="D28" s="116">
        <v>0</v>
      </c>
      <c r="E28" s="114">
        <v>0</v>
      </c>
      <c r="F28" s="119">
        <v>0</v>
      </c>
      <c r="G28" s="117"/>
      <c r="H28" s="118"/>
    </row>
    <row r="29" spans="1:8" x14ac:dyDescent="0.2">
      <c r="A29" s="6" t="s">
        <v>64</v>
      </c>
      <c r="B29" s="121">
        <v>0</v>
      </c>
      <c r="C29" s="190" t="str">
        <f>IF(B29=0,"N/A",B29/'sources-uses'!$C$93)</f>
        <v>N/A</v>
      </c>
      <c r="D29" s="116">
        <v>0</v>
      </c>
      <c r="E29" s="114">
        <v>0</v>
      </c>
      <c r="F29" s="119" t="s">
        <v>65</v>
      </c>
      <c r="G29" s="117"/>
      <c r="H29" s="118"/>
    </row>
    <row r="30" spans="1:8" x14ac:dyDescent="0.2">
      <c r="A30" s="6" t="s">
        <v>66</v>
      </c>
      <c r="B30" s="121">
        <v>0</v>
      </c>
      <c r="C30" s="190" t="str">
        <f>IF(B30=0,"N/A",B30/'sources-uses'!$C$93)</f>
        <v>N/A</v>
      </c>
      <c r="D30" s="116">
        <v>0</v>
      </c>
      <c r="E30" s="114">
        <v>0</v>
      </c>
      <c r="F30" s="119" t="s">
        <v>65</v>
      </c>
      <c r="G30" s="117"/>
      <c r="H30" s="118"/>
    </row>
    <row r="31" spans="1:8" x14ac:dyDescent="0.2">
      <c r="A31" s="6" t="s">
        <v>67</v>
      </c>
      <c r="B31" s="121">
        <v>0</v>
      </c>
      <c r="C31" s="190" t="str">
        <f>IF(B31=0,"N/A",B31/'sources-uses'!$C$93)</f>
        <v>N/A</v>
      </c>
      <c r="D31" s="116">
        <v>0</v>
      </c>
      <c r="E31" s="114">
        <v>0</v>
      </c>
      <c r="F31" s="119" t="s">
        <v>65</v>
      </c>
      <c r="G31" s="117"/>
      <c r="H31" s="118"/>
    </row>
    <row r="32" spans="1:8" x14ac:dyDescent="0.2">
      <c r="A32" s="6" t="s">
        <v>68</v>
      </c>
      <c r="B32" s="121">
        <v>0</v>
      </c>
      <c r="C32" s="190" t="str">
        <f>IF(B32=0,"N/A",B32/'sources-uses'!$C$93)</f>
        <v>N/A</v>
      </c>
      <c r="D32" s="120">
        <v>0</v>
      </c>
      <c r="E32" s="114">
        <v>0</v>
      </c>
      <c r="F32" s="119" t="s">
        <v>65</v>
      </c>
      <c r="G32" s="117"/>
      <c r="H32" s="118"/>
    </row>
    <row r="33" spans="1:8" x14ac:dyDescent="0.2">
      <c r="A33" s="6" t="s">
        <v>69</v>
      </c>
      <c r="B33" s="121">
        <v>0</v>
      </c>
      <c r="C33" s="190" t="str">
        <f>IF(B33=0,"N/A",B33/'sources-uses'!$C$93)</f>
        <v>N/A</v>
      </c>
      <c r="D33" s="116">
        <v>0</v>
      </c>
      <c r="E33" s="114">
        <v>0</v>
      </c>
      <c r="F33" s="119" t="s">
        <v>65</v>
      </c>
      <c r="G33" s="117"/>
      <c r="H33" s="118"/>
    </row>
    <row r="34" spans="1:8" x14ac:dyDescent="0.2">
      <c r="A34" s="7" t="s">
        <v>70</v>
      </c>
      <c r="B34" s="121">
        <v>0</v>
      </c>
      <c r="C34" s="190" t="str">
        <f>IF(B34=0,"N/A",B34/'sources-uses'!$C$93)</f>
        <v>N/A</v>
      </c>
      <c r="D34" s="116">
        <v>0</v>
      </c>
      <c r="E34" s="114">
        <v>0</v>
      </c>
      <c r="F34" s="119">
        <v>0</v>
      </c>
      <c r="G34" s="117"/>
      <c r="H34" s="118"/>
    </row>
    <row r="35" spans="1:8" outlineLevel="1" x14ac:dyDescent="0.2">
      <c r="A35" s="334" t="s">
        <v>71</v>
      </c>
      <c r="B35" s="185">
        <v>0</v>
      </c>
      <c r="C35" s="190" t="str">
        <f>IF(B35=0,"N/A",B35/'sources-uses'!$C$93)</f>
        <v>N/A</v>
      </c>
      <c r="D35" s="116">
        <v>0</v>
      </c>
      <c r="E35" s="114">
        <v>0</v>
      </c>
      <c r="F35" s="119">
        <v>0</v>
      </c>
      <c r="G35" s="117"/>
      <c r="H35" s="118"/>
    </row>
    <row r="36" spans="1:8" outlineLevel="1" x14ac:dyDescent="0.2">
      <c r="A36" s="334" t="s">
        <v>71</v>
      </c>
      <c r="B36" s="185">
        <v>0</v>
      </c>
      <c r="C36" s="190" t="str">
        <f>IF(B36=0,"N/A",B36/'sources-uses'!$C$93)</f>
        <v>N/A</v>
      </c>
      <c r="D36" s="116">
        <v>0</v>
      </c>
      <c r="E36" s="114">
        <v>0</v>
      </c>
      <c r="F36" s="119">
        <v>0</v>
      </c>
      <c r="G36" s="117"/>
      <c r="H36" s="118"/>
    </row>
    <row r="37" spans="1:8" outlineLevel="1" x14ac:dyDescent="0.2">
      <c r="A37" s="334" t="s">
        <v>71</v>
      </c>
      <c r="B37" s="185">
        <v>0</v>
      </c>
      <c r="C37" s="190" t="str">
        <f>IF(B37=0,"N/A",B37/'sources-uses'!$C$93)</f>
        <v>N/A</v>
      </c>
      <c r="D37" s="116">
        <v>0</v>
      </c>
      <c r="E37" s="114">
        <v>0</v>
      </c>
      <c r="F37" s="119">
        <v>0</v>
      </c>
      <c r="G37" s="117"/>
      <c r="H37" s="118"/>
    </row>
    <row r="38" spans="1:8" outlineLevel="1" x14ac:dyDescent="0.2">
      <c r="A38" s="334" t="s">
        <v>71</v>
      </c>
      <c r="B38" s="185">
        <v>0</v>
      </c>
      <c r="C38" s="190" t="str">
        <f>IF(B38=0,"N/A",B38/'sources-uses'!$C$93)</f>
        <v>N/A</v>
      </c>
      <c r="D38" s="116">
        <v>0</v>
      </c>
      <c r="E38" s="114">
        <v>0</v>
      </c>
      <c r="F38" s="119">
        <v>0</v>
      </c>
      <c r="G38" s="117"/>
      <c r="H38" s="118"/>
    </row>
    <row r="39" spans="1:8" outlineLevel="1" x14ac:dyDescent="0.2">
      <c r="A39" s="334" t="s">
        <v>71</v>
      </c>
      <c r="B39" s="185">
        <v>0</v>
      </c>
      <c r="C39" s="190" t="str">
        <f>IF(B39=0,"N/A",B39/'sources-uses'!$C$93)</f>
        <v>N/A</v>
      </c>
      <c r="D39" s="116">
        <v>0</v>
      </c>
      <c r="E39" s="114">
        <v>0</v>
      </c>
      <c r="F39" s="119">
        <v>0</v>
      </c>
      <c r="G39" s="117"/>
      <c r="H39" s="118"/>
    </row>
    <row r="40" spans="1:8" outlineLevel="1" x14ac:dyDescent="0.2">
      <c r="A40" s="334" t="s">
        <v>71</v>
      </c>
      <c r="B40" s="185">
        <v>0</v>
      </c>
      <c r="C40" s="190" t="str">
        <f>IF(B40=0,"N/A",B40/'sources-uses'!$C$93)</f>
        <v>N/A</v>
      </c>
      <c r="D40" s="116">
        <v>0</v>
      </c>
      <c r="E40" s="114">
        <v>0</v>
      </c>
      <c r="F40" s="119">
        <v>0</v>
      </c>
      <c r="G40" s="117"/>
      <c r="H40" s="118"/>
    </row>
    <row r="41" spans="1:8" outlineLevel="1" x14ac:dyDescent="0.2">
      <c r="A41" s="334" t="s">
        <v>71</v>
      </c>
      <c r="B41" s="185">
        <v>0</v>
      </c>
      <c r="C41" s="190" t="str">
        <f>IF(B41=0,"N/A",B41/'sources-uses'!$C$93)</f>
        <v>N/A</v>
      </c>
      <c r="D41" s="116">
        <v>0</v>
      </c>
      <c r="E41" s="114">
        <v>0</v>
      </c>
      <c r="F41" s="119">
        <v>0</v>
      </c>
      <c r="G41" s="117"/>
      <c r="H41" s="118"/>
    </row>
    <row r="42" spans="1:8" outlineLevel="1" x14ac:dyDescent="0.2">
      <c r="A42" s="334" t="s">
        <v>71</v>
      </c>
      <c r="B42" s="185">
        <v>0</v>
      </c>
      <c r="C42" s="190" t="str">
        <f>IF(B42=0,"N/A",B42/'sources-uses'!$C$93)</f>
        <v>N/A</v>
      </c>
      <c r="D42" s="116">
        <v>0</v>
      </c>
      <c r="E42" s="114">
        <v>0</v>
      </c>
      <c r="F42" s="119">
        <v>0</v>
      </c>
      <c r="G42" s="117"/>
      <c r="H42" s="118"/>
    </row>
    <row r="43" spans="1:8" outlineLevel="1" x14ac:dyDescent="0.2">
      <c r="A43" s="334" t="s">
        <v>71</v>
      </c>
      <c r="B43" s="185">
        <v>0</v>
      </c>
      <c r="C43" s="190" t="str">
        <f>IF(B43=0,"N/A",B43/'sources-uses'!$C$93)</f>
        <v>N/A</v>
      </c>
      <c r="D43" s="116">
        <v>0</v>
      </c>
      <c r="E43" s="114">
        <v>0</v>
      </c>
      <c r="F43" s="119">
        <v>0</v>
      </c>
      <c r="G43" s="117"/>
      <c r="H43" s="118"/>
    </row>
    <row r="44" spans="1:8" outlineLevel="1" x14ac:dyDescent="0.2">
      <c r="A44" s="334" t="s">
        <v>71</v>
      </c>
      <c r="B44" s="185">
        <v>0</v>
      </c>
      <c r="C44" s="190" t="str">
        <f>IF(B44=0,"N/A",B44/'sources-uses'!$C$93)</f>
        <v>N/A</v>
      </c>
      <c r="D44" s="116">
        <v>0</v>
      </c>
      <c r="E44" s="114">
        <v>0</v>
      </c>
      <c r="F44" s="119">
        <v>0</v>
      </c>
      <c r="G44" s="117"/>
      <c r="H44" s="118"/>
    </row>
    <row r="45" spans="1:8" x14ac:dyDescent="0.2">
      <c r="A45" s="7" t="s">
        <v>72</v>
      </c>
      <c r="B45" s="121">
        <v>0</v>
      </c>
      <c r="C45" s="190" t="str">
        <f>IF(B45=0,"N/A",B45/'sources-uses'!$C$93)</f>
        <v>N/A</v>
      </c>
      <c r="D45" s="8"/>
      <c r="F45" s="9"/>
      <c r="G45" s="117"/>
      <c r="H45" s="118"/>
    </row>
    <row r="46" spans="1:8" x14ac:dyDescent="0.2">
      <c r="A46" s="6" t="s">
        <v>73</v>
      </c>
      <c r="B46" s="121">
        <v>0</v>
      </c>
      <c r="C46" s="190" t="str">
        <f>IF(B46=0,"N/A",B46/'sources-uses'!$C$93)</f>
        <v>N/A</v>
      </c>
      <c r="D46" s="8"/>
      <c r="F46" s="9"/>
      <c r="G46" s="117"/>
      <c r="H46" s="118"/>
    </row>
    <row r="47" spans="1:8" x14ac:dyDescent="0.2">
      <c r="A47" s="6" t="s">
        <v>74</v>
      </c>
      <c r="B47" s="121">
        <v>0</v>
      </c>
      <c r="C47" s="190" t="str">
        <f>IF(B47=0,"N/A",B47/'sources-uses'!$C$93)</f>
        <v>N/A</v>
      </c>
      <c r="D47" s="8"/>
      <c r="F47" s="9"/>
      <c r="G47" s="117"/>
      <c r="H47" s="118"/>
    </row>
    <row r="48" spans="1:8" x14ac:dyDescent="0.2">
      <c r="A48" s="7" t="s">
        <v>75</v>
      </c>
      <c r="B48" s="121">
        <v>0</v>
      </c>
      <c r="C48" s="190" t="str">
        <f>IF(B48=0,"N/A",B48/'sources-uses'!$C$93)</f>
        <v>N/A</v>
      </c>
      <c r="D48" s="8"/>
      <c r="G48" s="117"/>
      <c r="H48" s="118"/>
    </row>
    <row r="49" spans="1:10" x14ac:dyDescent="0.2">
      <c r="A49" s="7" t="s">
        <v>76</v>
      </c>
      <c r="B49" s="121">
        <v>0</v>
      </c>
      <c r="C49" s="190" t="str">
        <f>IF(B49=0,"N/A",B49/'sources-uses'!$C$93)</f>
        <v>N/A</v>
      </c>
      <c r="D49" s="8"/>
      <c r="F49" s="9"/>
      <c r="G49" s="117"/>
      <c r="H49" s="118"/>
    </row>
    <row r="50" spans="1:10" x14ac:dyDescent="0.2">
      <c r="A50" s="6" t="s">
        <v>77</v>
      </c>
      <c r="B50" s="185">
        <v>0</v>
      </c>
      <c r="C50" s="190" t="str">
        <f>IF(B50=0,"N/A",B50/'sources-uses'!$C$93)</f>
        <v>N/A</v>
      </c>
      <c r="D50" s="8"/>
      <c r="F50" s="9"/>
      <c r="G50" s="117"/>
      <c r="H50" s="118"/>
    </row>
    <row r="51" spans="1:10" outlineLevel="1" x14ac:dyDescent="0.2">
      <c r="A51" s="334" t="s">
        <v>78</v>
      </c>
      <c r="B51" s="185">
        <v>0</v>
      </c>
      <c r="C51" s="190" t="str">
        <f>IF(B51=0,"N/A",B51/'sources-uses'!$C$93)</f>
        <v>N/A</v>
      </c>
      <c r="D51" s="8"/>
      <c r="F51" s="9"/>
      <c r="G51" s="117"/>
      <c r="H51" s="118"/>
    </row>
    <row r="52" spans="1:10" outlineLevel="1" x14ac:dyDescent="0.2">
      <c r="A52" s="334" t="s">
        <v>78</v>
      </c>
      <c r="B52" s="185">
        <v>0</v>
      </c>
      <c r="C52" s="190" t="str">
        <f>IF(B52=0,"N/A",B52/'sources-uses'!$C$93)</f>
        <v>N/A</v>
      </c>
      <c r="D52" s="8"/>
      <c r="F52" s="9"/>
      <c r="G52" s="117"/>
      <c r="H52" s="118"/>
    </row>
    <row r="53" spans="1:10" outlineLevel="1" x14ac:dyDescent="0.2">
      <c r="A53" s="334" t="s">
        <v>78</v>
      </c>
      <c r="B53" s="185">
        <v>0</v>
      </c>
      <c r="C53" s="190" t="str">
        <f>IF(B53=0,"N/A",B53/'sources-uses'!$C$93)</f>
        <v>N/A</v>
      </c>
      <c r="D53" s="8"/>
      <c r="F53" s="9"/>
      <c r="G53" s="117"/>
      <c r="H53" s="118"/>
    </row>
    <row r="54" spans="1:10" outlineLevel="1" x14ac:dyDescent="0.2">
      <c r="A54" s="334" t="s">
        <v>78</v>
      </c>
      <c r="B54" s="185">
        <v>0</v>
      </c>
      <c r="C54" s="190" t="str">
        <f>IF(B54=0,"N/A",B54/'sources-uses'!$C$93)</f>
        <v>N/A</v>
      </c>
      <c r="D54" s="8"/>
      <c r="F54" s="9"/>
      <c r="G54" s="117"/>
      <c r="H54" s="118"/>
    </row>
    <row r="55" spans="1:10" outlineLevel="1" x14ac:dyDescent="0.2">
      <c r="A55" s="334" t="s">
        <v>78</v>
      </c>
      <c r="B55" s="185">
        <v>0</v>
      </c>
      <c r="C55" s="190" t="str">
        <f>IF(B55=0,"N/A",B55/'sources-uses'!$C$93)</f>
        <v>N/A</v>
      </c>
      <c r="D55" s="8"/>
      <c r="F55" s="9"/>
      <c r="G55" s="117"/>
      <c r="H55" s="118"/>
    </row>
    <row r="56" spans="1:10" x14ac:dyDescent="0.2">
      <c r="A56" s="186" t="s">
        <v>79</v>
      </c>
      <c r="B56" s="187">
        <f>SUM(B21:B55)</f>
        <v>0</v>
      </c>
      <c r="C56" s="211">
        <f>SUM(C21:C50)</f>
        <v>0</v>
      </c>
      <c r="D56" s="188"/>
      <c r="E56" s="188"/>
      <c r="F56" s="188"/>
      <c r="G56" s="188"/>
      <c r="H56" s="188"/>
    </row>
    <row r="57" spans="1:10" x14ac:dyDescent="0.2">
      <c r="B57" s="41"/>
      <c r="C57" s="8"/>
    </row>
    <row r="58" spans="1:10" ht="15.75" x14ac:dyDescent="0.25">
      <c r="A58" s="50" t="s">
        <v>80</v>
      </c>
      <c r="B58" s="41"/>
      <c r="C58" s="8"/>
    </row>
    <row r="59" spans="1:10" x14ac:dyDescent="0.2">
      <c r="A59" s="7" t="s">
        <v>81</v>
      </c>
      <c r="B59" s="213">
        <f>'sources-uses'!C13</f>
        <v>0</v>
      </c>
      <c r="C59" s="190" t="str">
        <f>IF(B59=0,"N/A",B59/$B$62)</f>
        <v>N/A</v>
      </c>
      <c r="G59" s="99" t="s">
        <v>82</v>
      </c>
      <c r="H59" s="100" t="str">
        <f>cashflows!C24</f>
        <v>TBD</v>
      </c>
    </row>
    <row r="60" spans="1:10" x14ac:dyDescent="0.2">
      <c r="A60" s="7" t="s">
        <v>83</v>
      </c>
      <c r="B60" s="213">
        <f>'sources-uses'!C33</f>
        <v>0</v>
      </c>
      <c r="C60" s="190" t="str">
        <f t="shared" ref="C60:C61" si="0">IF(B60=0,"N/A",B60/$B$62)</f>
        <v>N/A</v>
      </c>
      <c r="G60" s="99" t="s">
        <v>84</v>
      </c>
      <c r="H60" s="100" t="str">
        <f>cashflows!C22</f>
        <v>N/A</v>
      </c>
    </row>
    <row r="61" spans="1:10" x14ac:dyDescent="0.2">
      <c r="A61" s="10" t="s">
        <v>85</v>
      </c>
      <c r="B61" s="213">
        <f>'sources-uses'!C92</f>
        <v>0</v>
      </c>
      <c r="C61" s="190" t="str">
        <f t="shared" si="0"/>
        <v>N/A</v>
      </c>
      <c r="G61" s="101" t="s">
        <v>86</v>
      </c>
      <c r="H61" s="102" t="str">
        <f>_xlfn.XLOOKUP(1,cashflows!C22:AF22,cashflows!C2:AF2,"N/A",-1)</f>
        <v>N/A</v>
      </c>
      <c r="J61" s="51"/>
    </row>
    <row r="62" spans="1:10" x14ac:dyDescent="0.2">
      <c r="A62" s="49" t="s">
        <v>87</v>
      </c>
      <c r="B62" s="214">
        <f>'sources-uses'!C93</f>
        <v>0</v>
      </c>
      <c r="C62" s="212">
        <f>SUM(C59:C61)</f>
        <v>0</v>
      </c>
    </row>
    <row r="63" spans="1:10" x14ac:dyDescent="0.2">
      <c r="A63" s="49"/>
    </row>
    <row r="64" spans="1:10" ht="15.75" thickBot="1" x14ac:dyDescent="0.25">
      <c r="A64" s="9" t="s">
        <v>88</v>
      </c>
      <c r="B64" s="215">
        <f>B56-B62</f>
        <v>0</v>
      </c>
    </row>
    <row r="65" spans="1:8" ht="16.5" thickTop="1" x14ac:dyDescent="0.25">
      <c r="A65" s="46" t="s">
        <v>564</v>
      </c>
      <c r="B65" s="215"/>
    </row>
    <row r="66" spans="1:8" x14ac:dyDescent="0.2">
      <c r="A66" s="23" t="s">
        <v>89</v>
      </c>
      <c r="B66" s="215"/>
    </row>
    <row r="67" spans="1:8" x14ac:dyDescent="0.2">
      <c r="A67" s="349" t="s">
        <v>90</v>
      </c>
      <c r="B67" s="122">
        <v>0</v>
      </c>
      <c r="C67" s="190" t="str">
        <f>IF(B67&gt;0,B67/$B$62,"N/A")</f>
        <v>N/A</v>
      </c>
      <c r="D67" s="123">
        <v>0</v>
      </c>
      <c r="E67" s="114">
        <v>0</v>
      </c>
      <c r="F67" s="7" t="s">
        <v>91</v>
      </c>
    </row>
    <row r="68" spans="1:8" ht="15.75" thickBot="1" x14ac:dyDescent="0.25">
      <c r="A68" s="349" t="s">
        <v>92</v>
      </c>
      <c r="B68" s="122">
        <v>0</v>
      </c>
      <c r="C68" s="190" t="str">
        <f>IF(B68&gt;0,B68/$B$62,"N/A")</f>
        <v>N/A</v>
      </c>
      <c r="D68" s="123">
        <v>0</v>
      </c>
      <c r="E68" s="114">
        <v>0</v>
      </c>
      <c r="F68" s="7" t="s">
        <v>91</v>
      </c>
      <c r="G68" s="39"/>
      <c r="H68" s="39"/>
    </row>
    <row r="69" spans="1:8" ht="15.75" thickTop="1" x14ac:dyDescent="0.2">
      <c r="A69" s="48"/>
      <c r="B69" s="48"/>
      <c r="C69" s="48"/>
      <c r="D69" s="48"/>
      <c r="E69" s="48"/>
      <c r="F69" s="48"/>
    </row>
    <row r="70" spans="1:8" x14ac:dyDescent="0.2">
      <c r="A70" s="6" t="s">
        <v>93</v>
      </c>
      <c r="D70" s="216" t="str">
        <f>IF($B$15=0,"N/A",$B$15*10*E70*$E$14)</f>
        <v>N/A</v>
      </c>
      <c r="E70" s="11">
        <v>1E-4</v>
      </c>
    </row>
    <row r="71" spans="1:8" x14ac:dyDescent="0.2">
      <c r="A71" s="6" t="s">
        <v>94</v>
      </c>
      <c r="D71" s="216" t="str">
        <f>IF($B$15=0,"N/A",$B$15*10*E71*$E$14)</f>
        <v>N/A</v>
      </c>
      <c r="E71" s="11">
        <v>0.99990000000000001</v>
      </c>
    </row>
    <row r="72" spans="1:8" ht="15.75" thickBot="1" x14ac:dyDescent="0.25">
      <c r="A72" s="52" t="s">
        <v>95</v>
      </c>
      <c r="B72" s="39"/>
      <c r="C72" s="39"/>
      <c r="D72" s="217" t="str">
        <f>IF(B15=0,"N/A",D70+D71)</f>
        <v>N/A</v>
      </c>
      <c r="E72" s="501">
        <f>E70+E71</f>
        <v>1</v>
      </c>
      <c r="F72" s="39"/>
      <c r="G72" s="39"/>
      <c r="H72" s="39"/>
    </row>
    <row r="73" spans="1:8" ht="15.75" thickTop="1" x14ac:dyDescent="0.2">
      <c r="A73" s="7" t="s">
        <v>96</v>
      </c>
    </row>
    <row r="74" spans="1:8" x14ac:dyDescent="0.2">
      <c r="C74" s="97" t="s">
        <v>97</v>
      </c>
      <c r="D74" s="97">
        <f>rents!G101</f>
        <v>0</v>
      </c>
    </row>
    <row r="75" spans="1:8" x14ac:dyDescent="0.2">
      <c r="C75" s="97" t="s">
        <v>98</v>
      </c>
      <c r="D75" s="96">
        <f>rents!B101</f>
        <v>0</v>
      </c>
    </row>
    <row r="76" spans="1:8" x14ac:dyDescent="0.2">
      <c r="C76" s="97" t="s">
        <v>99</v>
      </c>
      <c r="D76" s="176" t="str">
        <f>IF(D74=0,"N/A",D74/D75)</f>
        <v>N/A</v>
      </c>
    </row>
    <row r="77" spans="1:8" x14ac:dyDescent="0.2">
      <c r="C77" s="97"/>
      <c r="D77" s="96"/>
    </row>
    <row r="78" spans="1:8" x14ac:dyDescent="0.2">
      <c r="C78" s="97" t="s">
        <v>100</v>
      </c>
      <c r="D78" s="96">
        <f>rents!AM101</f>
        <v>0</v>
      </c>
    </row>
    <row r="79" spans="1:8" x14ac:dyDescent="0.2">
      <c r="C79" s="97" t="str">
        <f>rents!Q101</f>
        <v>Net Residential Unit Sq. Footage</v>
      </c>
      <c r="D79" s="96">
        <f>rents!R101</f>
        <v>0</v>
      </c>
    </row>
    <row r="80" spans="1:8" x14ac:dyDescent="0.2">
      <c r="C80" s="97" t="s">
        <v>101</v>
      </c>
      <c r="D80" s="176" t="str">
        <f>IF(D78=0,"N/A",D78/D79)</f>
        <v>N/A</v>
      </c>
    </row>
    <row r="81" spans="3:4" x14ac:dyDescent="0.2">
      <c r="C81" s="96"/>
      <c r="D81" s="96"/>
    </row>
    <row r="82" spans="3:4" x14ac:dyDescent="0.2">
      <c r="C82" s="96" t="s">
        <v>102</v>
      </c>
      <c r="D82" s="98">
        <f>MIN(D76,D80)</f>
        <v>0</v>
      </c>
    </row>
  </sheetData>
  <sheetProtection algorithmName="SHA-512" hashValue="0jppffa8L7jTQ7o38Rr5n3gWi+Iju0YmzHOiS6NHXwWCGytAu+Q+sSEOowc0qAZA5IoUS2ODxnD033KQL/yOpg==" saltValue="YZ60l4ZQ8J8Fdyd1nthjFg==" spinCount="100000" sheet="1" formatCells="0" formatColumns="0" formatRows="0"/>
  <sortState xmlns:xlrd2="http://schemas.microsoft.com/office/spreadsheetml/2017/richdata2" ref="A32:F56">
    <sortCondition ref="A32:A56"/>
  </sortState>
  <dataConsolidate/>
  <mergeCells count="10">
    <mergeCell ref="C11:D11"/>
    <mergeCell ref="C12:D12"/>
    <mergeCell ref="C13:D13"/>
    <mergeCell ref="C14:D14"/>
    <mergeCell ref="C4:D4"/>
    <mergeCell ref="C5:D5"/>
    <mergeCell ref="C6:D6"/>
    <mergeCell ref="C8:D8"/>
    <mergeCell ref="C9:D9"/>
    <mergeCell ref="C10:D10"/>
  </mergeCells>
  <phoneticPr fontId="0" type="noConversion"/>
  <dataValidations count="3">
    <dataValidation type="whole" allowBlank="1" showInputMessage="1" showErrorMessage="1" prompt="Please enter a value from 1-10. " sqref="B3" xr:uid="{C02560A7-CD8C-4D54-B2E6-28A9E1D43F5C}">
      <formula1>1</formula1>
      <formula2>10</formula2>
    </dataValidation>
    <dataValidation type="date" allowBlank="1" showInputMessage="1" showErrorMessage="1" prompt="Please enter date of this proforma revision in DD/MM/YYYY format. Please do not enter a formula." sqref="B2" xr:uid="{50EA807E-4890-47BA-8173-5425389BF4B6}">
      <formula1>32874</formula1>
      <formula2>219148</formula2>
    </dataValidation>
    <dataValidation type="whole" operator="greaterThanOrEqual" allowBlank="1" showInputMessage="1" showErrorMessage="1" prompt="While services may be available to all households, in this cell please include only the number of units that will carry specific designations (e.g. units serving households exiting homelessness or at risk of homelessness). " sqref="B7" xr:uid="{35DEDC42-7D30-4870-8097-405A0E905400}">
      <formula1>0</formula1>
    </dataValidation>
  </dataValidations>
  <pageMargins left="0.75" right="0.75" top="1" bottom="1" header="0.5" footer="0.5"/>
  <pageSetup scale="43" orientation="portrait" r:id="rId1"/>
  <headerFooter alignWithMargins="0">
    <oddFooter>&amp;L&amp;F
&amp;D&amp;T&amp;R&amp;"Times New Roman,Regular"&amp;8revision date:  11/3/2018</oddFooter>
  </headerFooter>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Title="Equity Bridge Loan" prompt="Select VHFA Equity Bridge Loan, Non-VHFA Equity Bridge Loan, or None" xr:uid="{4F4FD328-2F39-4707-8854-AFAE4778858F}">
          <x14:formula1>
            <xm:f>'VHFA Use'!$C$63:$C$65</xm:f>
          </x14:formula1>
          <xm:sqref>A68</xm:sqref>
        </x14:dataValidation>
        <x14:dataValidation type="list" allowBlank="1" showInputMessage="1" showErrorMessage="1" promptTitle="Type of LIHTC" prompt="Select either &quot;LIHTC - 9%&quot; for a Ceilling or Allocated Credit or &quot;LIHTC - 4%&quot; for a Tax Exempt Bond or Bond Credit project. Select &quot;LIHTC - None&quot; if not a LIHTC project._x000a__x000a_Note: The acquisition credit rate will automatically calculate based on the 4% rate." xr:uid="{9FCF3086-5EF0-4E89-8287-53342DEE4548}">
          <x14:formula1>
            <xm:f>'VHFA Use'!$C$72:$C$74</xm:f>
          </x14:formula1>
          <xm:sqref>A18</xm:sqref>
        </x14:dataValidation>
        <x14:dataValidation type="list" showInputMessage="1" showErrorMessage="1" errorTitle="Permanent Debt Requested" error="Select type of VHFA Permanent Debt or select Non-VHFA Permanent Debt or None" promptTitle="Permanent Debt Requested" xr:uid="{C8DB7E24-E344-4967-96F1-9AF86A0727A6}">
          <x14:formula1>
            <xm:f>'VHFA Use'!$C$53:$C$57</xm:f>
          </x14:formula1>
          <xm:sqref>A21:A22</xm:sqref>
        </x14:dataValidation>
        <x14:dataValidation type="list" showInputMessage="1" showErrorMessage="1" xr:uid="{76A2CD47-7C08-472E-B20D-45D702ED07E1}">
          <x14:formula1>
            <xm:f>'VHFA Use'!$C$93:$C$94</xm:f>
          </x14:formula1>
          <xm:sqref>E9</xm:sqref>
        </x14:dataValidation>
        <x14:dataValidation type="list" allowBlank="1" showInputMessage="1" showErrorMessage="1" promptTitle="Type of Construction Debt" xr:uid="{A8401CCA-A506-4F6F-A624-E6C938A28CD8}">
          <x14:formula1>
            <xm:f>'VHFA Use'!$C$59:$C$61</xm:f>
          </x14:formula1>
          <xm:sqref>A67</xm:sqref>
        </x14:dataValidation>
        <x14:dataValidation type="list" showInputMessage="1" showErrorMessage="1" xr:uid="{0E8B6A06-0942-4AA9-BFAC-B6ED4EB99779}">
          <x14:formula1>
            <xm:f>'VHFA Use'!$C$87:$C$89</xm:f>
          </x14:formula1>
          <xm:sqref>E4:E6</xm:sqref>
        </x14:dataValidation>
        <x14:dataValidation type="list" showInputMessage="1" showErrorMessage="1" xr:uid="{63F4ABFC-E996-42BE-9D83-2579ACDF20E8}">
          <x14:formula1>
            <xm:f>'VHFA Use'!$C$90:$C$92</xm:f>
          </x14:formula1>
          <xm:sqref>E8</xm:sqref>
        </x14:dataValidation>
        <x14:dataValidation type="list" allowBlank="1" showInputMessage="1" showErrorMessage="1" xr:uid="{09F9302E-05F0-4EED-AF10-E9BC5CF07AAA}">
          <x14:formula1>
            <xm:f>'VHFA Use'!$C$84:$C$86</xm:f>
          </x14:formula1>
          <xm:sqref>B13</xm:sqref>
        </x14:dataValidation>
        <x14:dataValidation type="list" allowBlank="1" showInputMessage="1" showErrorMessage="1" xr:uid="{4AC4CC0F-6146-4859-A2FA-C018B2E0B206}">
          <x14:formula1>
            <xm:f>'VHFA Use'!$C$77:$C$78</xm:f>
          </x14:formula1>
          <xm:sqref>G27:G55 G21:G26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06DDE-E868-41AE-BDB1-252D65FF6513}">
  <sheetPr transitionEvaluation="1">
    <pageSetUpPr autoPageBreaks="0" fitToPage="1"/>
  </sheetPr>
  <dimension ref="A1:O177"/>
  <sheetViews>
    <sheetView topLeftCell="A24" zoomScale="80" zoomScaleNormal="80" zoomScaleSheetLayoutView="90" workbookViewId="0">
      <selection activeCell="B37" sqref="B37"/>
    </sheetView>
  </sheetViews>
  <sheetFormatPr defaultColWidth="19.109375" defaultRowHeight="14.25" outlineLevelRow="2" outlineLevelCol="1" x14ac:dyDescent="0.2"/>
  <cols>
    <col min="1" max="1" width="7.44140625" style="12" bestFit="1" customWidth="1"/>
    <col min="2" max="2" width="34.77734375" style="12" customWidth="1"/>
    <col min="3" max="3" width="22.21875" style="12" customWidth="1"/>
    <col min="4" max="4" width="19.77734375" style="12" customWidth="1"/>
    <col min="5" max="5" width="20.77734375" style="12" customWidth="1"/>
    <col min="6" max="6" width="19.44140625" style="12" customWidth="1"/>
    <col min="7" max="13" width="16.88671875" style="12" customWidth="1" outlineLevel="1"/>
    <col min="14" max="14" width="10.33203125" style="12" customWidth="1"/>
    <col min="15" max="15" width="9" style="12" customWidth="1"/>
    <col min="16" max="16" width="8" style="12" bestFit="1" customWidth="1"/>
    <col min="17" max="17" width="17.109375" style="12" customWidth="1"/>
    <col min="18" max="16384" width="19.109375" style="12"/>
  </cols>
  <sheetData>
    <row r="1" spans="1:14" ht="15.75" thickBot="1" x14ac:dyDescent="0.3">
      <c r="A1" s="199" t="str">
        <f>assumptions!B2</f>
        <v>enter date</v>
      </c>
      <c r="B1" s="200" t="str">
        <f>assumptions!B1</f>
        <v>enter project name</v>
      </c>
      <c r="C1" s="259"/>
      <c r="D1" s="200"/>
      <c r="E1" s="200"/>
      <c r="F1" s="309" t="s">
        <v>103</v>
      </c>
      <c r="G1" s="200"/>
      <c r="H1" s="200"/>
      <c r="I1" s="200"/>
      <c r="J1" s="200"/>
      <c r="K1" s="200"/>
      <c r="L1" s="200"/>
      <c r="M1" s="200"/>
    </row>
    <row r="2" spans="1:14" ht="16.899999999999999" customHeight="1" thickTop="1" x14ac:dyDescent="0.25">
      <c r="B2" s="314" t="s">
        <v>104</v>
      </c>
      <c r="C2" s="260" t="s">
        <v>105</v>
      </c>
      <c r="D2" s="257" t="s">
        <v>106</v>
      </c>
      <c r="E2" s="257" t="s">
        <v>107</v>
      </c>
      <c r="F2" s="257" t="s">
        <v>108</v>
      </c>
      <c r="G2" s="257" t="s">
        <v>109</v>
      </c>
      <c r="H2" s="257" t="s">
        <v>110</v>
      </c>
      <c r="I2" s="257" t="s">
        <v>111</v>
      </c>
      <c r="J2" s="257" t="s">
        <v>112</v>
      </c>
      <c r="K2" s="257" t="s">
        <v>113</v>
      </c>
      <c r="L2" s="257" t="s">
        <v>114</v>
      </c>
      <c r="M2" s="257" t="s">
        <v>115</v>
      </c>
      <c r="N2" s="258"/>
    </row>
    <row r="3" spans="1:14" s="22" customFormat="1" x14ac:dyDescent="0.2">
      <c r="C3" s="261" t="s">
        <v>116</v>
      </c>
      <c r="D3" s="20" t="s">
        <v>116</v>
      </c>
      <c r="E3" s="20" t="s">
        <v>116</v>
      </c>
      <c r="F3" s="20" t="s">
        <v>116</v>
      </c>
      <c r="G3" s="20" t="s">
        <v>116</v>
      </c>
      <c r="H3" s="20" t="s">
        <v>116</v>
      </c>
      <c r="I3" s="20" t="s">
        <v>116</v>
      </c>
      <c r="J3" s="20" t="s">
        <v>116</v>
      </c>
      <c r="K3" s="20" t="s">
        <v>116</v>
      </c>
      <c r="L3" s="20" t="s">
        <v>116</v>
      </c>
      <c r="M3" s="20" t="s">
        <v>116</v>
      </c>
    </row>
    <row r="4" spans="1:14" ht="15" x14ac:dyDescent="0.25">
      <c r="B4" s="25" t="s">
        <v>117</v>
      </c>
      <c r="C4" s="68"/>
      <c r="D4" s="25"/>
      <c r="E4" s="25"/>
      <c r="F4" s="25"/>
      <c r="G4" s="25"/>
      <c r="H4" s="25"/>
      <c r="I4" s="25"/>
      <c r="J4" s="25"/>
      <c r="K4" s="25"/>
      <c r="L4" s="25"/>
      <c r="M4" s="25"/>
    </row>
    <row r="5" spans="1:14" x14ac:dyDescent="0.2">
      <c r="B5" s="13" t="s">
        <v>118</v>
      </c>
      <c r="C5" s="265">
        <f t="shared" ref="C5:C12" si="0">SUM(D5:M5)</f>
        <v>0</v>
      </c>
      <c r="D5" s="124">
        <v>0</v>
      </c>
      <c r="E5" s="124">
        <v>0</v>
      </c>
      <c r="F5" s="124">
        <v>0</v>
      </c>
      <c r="G5" s="124">
        <v>0</v>
      </c>
      <c r="H5" s="124">
        <v>0</v>
      </c>
      <c r="I5" s="124">
        <v>0</v>
      </c>
      <c r="J5" s="124">
        <v>0</v>
      </c>
      <c r="K5" s="124">
        <v>0</v>
      </c>
      <c r="L5" s="124">
        <v>0</v>
      </c>
      <c r="M5" s="124">
        <v>0</v>
      </c>
    </row>
    <row r="6" spans="1:14" x14ac:dyDescent="0.2">
      <c r="B6" s="13" t="s">
        <v>119</v>
      </c>
      <c r="C6" s="265">
        <f t="shared" si="0"/>
        <v>0</v>
      </c>
      <c r="D6" s="124">
        <v>0</v>
      </c>
      <c r="E6" s="124">
        <v>0</v>
      </c>
      <c r="F6" s="124">
        <v>0</v>
      </c>
      <c r="G6" s="124">
        <v>0</v>
      </c>
      <c r="H6" s="124">
        <v>0</v>
      </c>
      <c r="I6" s="124">
        <v>0</v>
      </c>
      <c r="J6" s="124">
        <v>0</v>
      </c>
      <c r="K6" s="124">
        <v>0</v>
      </c>
      <c r="L6" s="124">
        <v>0</v>
      </c>
      <c r="M6" s="124">
        <v>0</v>
      </c>
    </row>
    <row r="7" spans="1:14" x14ac:dyDescent="0.2">
      <c r="B7" s="15" t="s">
        <v>120</v>
      </c>
      <c r="C7" s="265">
        <f t="shared" si="0"/>
        <v>0</v>
      </c>
      <c r="D7" s="124">
        <v>0</v>
      </c>
      <c r="E7" s="124">
        <v>0</v>
      </c>
      <c r="F7" s="124">
        <v>0</v>
      </c>
      <c r="G7" s="124">
        <v>0</v>
      </c>
      <c r="H7" s="124">
        <v>0</v>
      </c>
      <c r="I7" s="124">
        <v>0</v>
      </c>
      <c r="J7" s="124">
        <v>0</v>
      </c>
      <c r="K7" s="124">
        <v>0</v>
      </c>
      <c r="L7" s="124">
        <v>0</v>
      </c>
      <c r="M7" s="124">
        <v>0</v>
      </c>
    </row>
    <row r="8" spans="1:14" x14ac:dyDescent="0.2">
      <c r="B8" s="15" t="s">
        <v>121</v>
      </c>
      <c r="C8" s="265">
        <f t="shared" si="0"/>
        <v>0</v>
      </c>
      <c r="D8" s="124">
        <v>0</v>
      </c>
      <c r="E8" s="124">
        <v>0</v>
      </c>
      <c r="F8" s="124">
        <v>0</v>
      </c>
      <c r="G8" s="124">
        <v>0</v>
      </c>
      <c r="H8" s="124">
        <v>0</v>
      </c>
      <c r="I8" s="124">
        <v>0</v>
      </c>
      <c r="J8" s="124">
        <v>0</v>
      </c>
      <c r="K8" s="124">
        <v>0</v>
      </c>
      <c r="L8" s="124">
        <v>0</v>
      </c>
      <c r="M8" s="124">
        <v>0</v>
      </c>
    </row>
    <row r="9" spans="1:14" x14ac:dyDescent="0.2">
      <c r="B9" s="13" t="s">
        <v>122</v>
      </c>
      <c r="C9" s="265">
        <f t="shared" si="0"/>
        <v>0</v>
      </c>
      <c r="D9" s="124">
        <v>0</v>
      </c>
      <c r="E9" s="124">
        <v>0</v>
      </c>
      <c r="F9" s="124">
        <v>0</v>
      </c>
      <c r="G9" s="124">
        <v>0</v>
      </c>
      <c r="H9" s="124">
        <v>0</v>
      </c>
      <c r="I9" s="124">
        <v>0</v>
      </c>
      <c r="J9" s="124">
        <v>0</v>
      </c>
      <c r="K9" s="124">
        <v>0</v>
      </c>
      <c r="L9" s="124">
        <v>0</v>
      </c>
      <c r="M9" s="124">
        <v>0</v>
      </c>
    </row>
    <row r="10" spans="1:14" outlineLevel="1" x14ac:dyDescent="0.2">
      <c r="B10" s="258" t="s">
        <v>78</v>
      </c>
      <c r="C10" s="265">
        <f t="shared" si="0"/>
        <v>0</v>
      </c>
      <c r="D10" s="124">
        <v>0</v>
      </c>
      <c r="E10" s="124">
        <v>0</v>
      </c>
      <c r="F10" s="124">
        <v>0</v>
      </c>
      <c r="G10" s="124">
        <v>0</v>
      </c>
      <c r="H10" s="124">
        <v>0</v>
      </c>
      <c r="I10" s="124">
        <v>0</v>
      </c>
      <c r="J10" s="124">
        <v>0</v>
      </c>
      <c r="K10" s="124">
        <v>0</v>
      </c>
      <c r="L10" s="124">
        <v>0</v>
      </c>
      <c r="M10" s="124">
        <v>0</v>
      </c>
    </row>
    <row r="11" spans="1:14" outlineLevel="1" x14ac:dyDescent="0.2">
      <c r="B11" s="258" t="s">
        <v>78</v>
      </c>
      <c r="C11" s="265">
        <f t="shared" si="0"/>
        <v>0</v>
      </c>
      <c r="D11" s="124">
        <v>0</v>
      </c>
      <c r="E11" s="124">
        <v>0</v>
      </c>
      <c r="F11" s="124">
        <v>0</v>
      </c>
      <c r="G11" s="124">
        <v>0</v>
      </c>
      <c r="H11" s="124">
        <v>0</v>
      </c>
      <c r="I11" s="124">
        <v>0</v>
      </c>
      <c r="J11" s="124">
        <v>0</v>
      </c>
      <c r="K11" s="124">
        <v>0</v>
      </c>
      <c r="L11" s="124">
        <v>0</v>
      </c>
      <c r="M11" s="124">
        <v>0</v>
      </c>
    </row>
    <row r="12" spans="1:14" outlineLevel="1" x14ac:dyDescent="0.2">
      <c r="B12" s="258" t="s">
        <v>78</v>
      </c>
      <c r="C12" s="265">
        <f t="shared" si="0"/>
        <v>0</v>
      </c>
      <c r="D12" s="124">
        <v>0</v>
      </c>
      <c r="E12" s="124">
        <v>0</v>
      </c>
      <c r="F12" s="124">
        <v>0</v>
      </c>
      <c r="G12" s="124">
        <v>0</v>
      </c>
      <c r="H12" s="124">
        <v>0</v>
      </c>
      <c r="I12" s="124">
        <v>0</v>
      </c>
      <c r="J12" s="124">
        <v>0</v>
      </c>
      <c r="K12" s="124">
        <v>0</v>
      </c>
      <c r="L12" s="124">
        <v>0</v>
      </c>
      <c r="M12" s="124">
        <v>0</v>
      </c>
    </row>
    <row r="13" spans="1:14" x14ac:dyDescent="0.2">
      <c r="A13" s="111"/>
      <c r="B13" s="23" t="s">
        <v>123</v>
      </c>
      <c r="C13" s="262">
        <f>SUM(C5:C12)</f>
        <v>0</v>
      </c>
      <c r="D13" s="253">
        <f>SUM(D5:D12)</f>
        <v>0</v>
      </c>
      <c r="E13" s="253">
        <f>SUM(E5:E12)</f>
        <v>0</v>
      </c>
      <c r="F13" s="253">
        <f>SUM(F5:F12)</f>
        <v>0</v>
      </c>
      <c r="G13" s="253">
        <f t="shared" ref="G13:M13" si="1">SUM(G5:G12)</f>
        <v>0</v>
      </c>
      <c r="H13" s="253">
        <f t="shared" si="1"/>
        <v>0</v>
      </c>
      <c r="I13" s="253">
        <f t="shared" si="1"/>
        <v>0</v>
      </c>
      <c r="J13" s="253">
        <f t="shared" si="1"/>
        <v>0</v>
      </c>
      <c r="K13" s="253">
        <f t="shared" si="1"/>
        <v>0</v>
      </c>
      <c r="L13" s="253">
        <f t="shared" si="1"/>
        <v>0</v>
      </c>
      <c r="M13" s="253">
        <f t="shared" si="1"/>
        <v>0</v>
      </c>
    </row>
    <row r="14" spans="1:14" ht="15" x14ac:dyDescent="0.25">
      <c r="B14" s="25" t="s">
        <v>124</v>
      </c>
      <c r="C14" s="486"/>
      <c r="D14" s="25"/>
      <c r="E14" s="25"/>
      <c r="F14" s="25"/>
      <c r="G14" s="25"/>
      <c r="H14" s="25"/>
      <c r="I14" s="25"/>
      <c r="J14" s="25"/>
      <c r="K14" s="25"/>
      <c r="L14" s="25"/>
      <c r="M14" s="25"/>
    </row>
    <row r="15" spans="1:14" x14ac:dyDescent="0.2">
      <c r="B15" s="13" t="s">
        <v>125</v>
      </c>
      <c r="C15" s="265">
        <f t="shared" ref="C15:C32" si="2">SUM(D15:M15)</f>
        <v>0</v>
      </c>
      <c r="D15" s="124">
        <v>0</v>
      </c>
      <c r="E15" s="124">
        <v>0</v>
      </c>
      <c r="F15" s="124">
        <v>0</v>
      </c>
      <c r="G15" s="124">
        <v>0</v>
      </c>
      <c r="H15" s="124">
        <v>0</v>
      </c>
      <c r="I15" s="124">
        <v>0</v>
      </c>
      <c r="J15" s="124">
        <v>0</v>
      </c>
      <c r="K15" s="124">
        <v>0</v>
      </c>
      <c r="L15" s="124">
        <v>0</v>
      </c>
      <c r="M15" s="124">
        <v>0</v>
      </c>
    </row>
    <row r="16" spans="1:14" x14ac:dyDescent="0.2">
      <c r="B16" s="15" t="s">
        <v>126</v>
      </c>
      <c r="C16" s="265">
        <f t="shared" si="2"/>
        <v>0</v>
      </c>
      <c r="D16" s="124">
        <v>0</v>
      </c>
      <c r="E16" s="124">
        <v>0</v>
      </c>
      <c r="F16" s="124">
        <v>0</v>
      </c>
      <c r="G16" s="124">
        <v>0</v>
      </c>
      <c r="H16" s="124">
        <v>0</v>
      </c>
      <c r="I16" s="124">
        <v>0</v>
      </c>
      <c r="J16" s="124">
        <v>0</v>
      </c>
      <c r="K16" s="124">
        <v>0</v>
      </c>
      <c r="L16" s="124">
        <v>0</v>
      </c>
      <c r="M16" s="124">
        <v>0</v>
      </c>
    </row>
    <row r="17" spans="1:13" x14ac:dyDescent="0.2">
      <c r="B17" s="13" t="s">
        <v>127</v>
      </c>
      <c r="C17" s="265">
        <f t="shared" si="2"/>
        <v>0</v>
      </c>
      <c r="D17" s="124">
        <v>0</v>
      </c>
      <c r="E17" s="124">
        <v>0</v>
      </c>
      <c r="F17" s="124">
        <v>0</v>
      </c>
      <c r="G17" s="124">
        <v>0</v>
      </c>
      <c r="H17" s="124">
        <v>0</v>
      </c>
      <c r="I17" s="124">
        <v>0</v>
      </c>
      <c r="J17" s="124">
        <v>0</v>
      </c>
      <c r="K17" s="124">
        <v>0</v>
      </c>
      <c r="L17" s="124">
        <v>0</v>
      </c>
      <c r="M17" s="124">
        <v>0</v>
      </c>
    </row>
    <row r="18" spans="1:13" x14ac:dyDescent="0.2">
      <c r="B18" s="13" t="s">
        <v>128</v>
      </c>
      <c r="C18" s="265">
        <f t="shared" si="2"/>
        <v>0</v>
      </c>
      <c r="D18" s="124">
        <v>0</v>
      </c>
      <c r="E18" s="124">
        <v>0</v>
      </c>
      <c r="F18" s="124">
        <v>0</v>
      </c>
      <c r="G18" s="124">
        <v>0</v>
      </c>
      <c r="H18" s="124">
        <v>0</v>
      </c>
      <c r="I18" s="124">
        <v>0</v>
      </c>
      <c r="J18" s="124">
        <v>0</v>
      </c>
      <c r="K18" s="124">
        <v>0</v>
      </c>
      <c r="L18" s="124">
        <v>0</v>
      </c>
      <c r="M18" s="124">
        <v>0</v>
      </c>
    </row>
    <row r="19" spans="1:13" x14ac:dyDescent="0.2">
      <c r="B19" s="13" t="s">
        <v>129</v>
      </c>
      <c r="C19" s="265">
        <f t="shared" si="2"/>
        <v>0</v>
      </c>
      <c r="D19" s="124">
        <v>0</v>
      </c>
      <c r="E19" s="124">
        <v>0</v>
      </c>
      <c r="F19" s="124">
        <v>0</v>
      </c>
      <c r="G19" s="124">
        <v>0</v>
      </c>
      <c r="H19" s="124">
        <v>0</v>
      </c>
      <c r="I19" s="124">
        <v>0</v>
      </c>
      <c r="J19" s="124">
        <v>0</v>
      </c>
      <c r="K19" s="124">
        <v>0</v>
      </c>
      <c r="L19" s="124">
        <v>0</v>
      </c>
      <c r="M19" s="124">
        <v>0</v>
      </c>
    </row>
    <row r="20" spans="1:13" x14ac:dyDescent="0.2">
      <c r="A20" s="89" t="str">
        <f>IF(ISERR(C20/$C$33),"N/A",C20/$C$33)</f>
        <v>N/A</v>
      </c>
      <c r="B20" s="13" t="s">
        <v>130</v>
      </c>
      <c r="C20" s="265">
        <f t="shared" si="2"/>
        <v>0</v>
      </c>
      <c r="D20" s="124">
        <v>0</v>
      </c>
      <c r="E20" s="124">
        <v>0</v>
      </c>
      <c r="F20" s="124">
        <v>0</v>
      </c>
      <c r="G20" s="124">
        <v>0</v>
      </c>
      <c r="H20" s="124">
        <v>0</v>
      </c>
      <c r="I20" s="124">
        <v>0</v>
      </c>
      <c r="J20" s="124">
        <v>0</v>
      </c>
      <c r="K20" s="124">
        <v>0</v>
      </c>
      <c r="L20" s="124">
        <v>0</v>
      </c>
      <c r="M20" s="124">
        <v>0</v>
      </c>
    </row>
    <row r="21" spans="1:13" x14ac:dyDescent="0.2">
      <c r="A21" s="89" t="str">
        <f>IF(ISERR(C21/$C$33),"N/A",C21/$C$33)</f>
        <v>N/A</v>
      </c>
      <c r="B21" s="13" t="s">
        <v>131</v>
      </c>
      <c r="C21" s="265">
        <f t="shared" si="2"/>
        <v>0</v>
      </c>
      <c r="D21" s="124">
        <v>0</v>
      </c>
      <c r="E21" s="124">
        <v>0</v>
      </c>
      <c r="F21" s="124">
        <v>0</v>
      </c>
      <c r="G21" s="124">
        <v>0</v>
      </c>
      <c r="H21" s="124">
        <v>0</v>
      </c>
      <c r="I21" s="124">
        <v>0</v>
      </c>
      <c r="J21" s="124">
        <v>0</v>
      </c>
      <c r="K21" s="124">
        <v>0</v>
      </c>
      <c r="L21" s="124">
        <v>0</v>
      </c>
      <c r="M21" s="124">
        <v>0</v>
      </c>
    </row>
    <row r="22" spans="1:13" x14ac:dyDescent="0.2">
      <c r="A22" s="89" t="str">
        <f>IF(ISERR(C22/$C$33),"N/A",C22/$C$33)</f>
        <v>N/A</v>
      </c>
      <c r="B22" s="13" t="s">
        <v>132</v>
      </c>
      <c r="C22" s="265">
        <f t="shared" si="2"/>
        <v>0</v>
      </c>
      <c r="D22" s="124">
        <v>0</v>
      </c>
      <c r="E22" s="124">
        <v>0</v>
      </c>
      <c r="F22" s="124">
        <v>0</v>
      </c>
      <c r="G22" s="124">
        <v>0</v>
      </c>
      <c r="H22" s="124">
        <v>0</v>
      </c>
      <c r="I22" s="124">
        <v>0</v>
      </c>
      <c r="J22" s="124">
        <v>0</v>
      </c>
      <c r="K22" s="124">
        <v>0</v>
      </c>
      <c r="L22" s="124">
        <v>0</v>
      </c>
      <c r="M22" s="124">
        <v>0</v>
      </c>
    </row>
    <row r="23" spans="1:13" x14ac:dyDescent="0.2">
      <c r="A23" s="89" t="str">
        <f>IF(ISERR(C23/$C$33),"N/A",C23/$C$33)</f>
        <v>N/A</v>
      </c>
      <c r="B23" s="13" t="s">
        <v>133</v>
      </c>
      <c r="C23" s="265">
        <f t="shared" si="2"/>
        <v>0</v>
      </c>
      <c r="D23" s="124">
        <v>0</v>
      </c>
      <c r="E23" s="124">
        <v>0</v>
      </c>
      <c r="F23" s="124">
        <v>0</v>
      </c>
      <c r="G23" s="124">
        <v>0</v>
      </c>
      <c r="H23" s="124">
        <v>0</v>
      </c>
      <c r="I23" s="124">
        <v>0</v>
      </c>
      <c r="J23" s="124">
        <v>0</v>
      </c>
      <c r="K23" s="124">
        <v>0</v>
      </c>
      <c r="L23" s="124">
        <v>0</v>
      </c>
      <c r="M23" s="124">
        <v>0</v>
      </c>
    </row>
    <row r="24" spans="1:13" x14ac:dyDescent="0.2">
      <c r="B24" s="13" t="s">
        <v>134</v>
      </c>
      <c r="C24" s="265">
        <f t="shared" si="2"/>
        <v>0</v>
      </c>
      <c r="D24" s="124">
        <v>0</v>
      </c>
      <c r="E24" s="124">
        <v>0</v>
      </c>
      <c r="F24" s="124">
        <v>0</v>
      </c>
      <c r="G24" s="124">
        <v>0</v>
      </c>
      <c r="H24" s="124">
        <v>0</v>
      </c>
      <c r="I24" s="124">
        <v>0</v>
      </c>
      <c r="J24" s="124">
        <v>0</v>
      </c>
      <c r="K24" s="124">
        <v>0</v>
      </c>
      <c r="L24" s="124">
        <v>0</v>
      </c>
      <c r="M24" s="124">
        <v>0</v>
      </c>
    </row>
    <row r="25" spans="1:13" x14ac:dyDescent="0.2">
      <c r="B25" s="13" t="s">
        <v>135</v>
      </c>
      <c r="C25" s="265">
        <f t="shared" si="2"/>
        <v>0</v>
      </c>
      <c r="D25" s="124">
        <v>0</v>
      </c>
      <c r="E25" s="124">
        <v>0</v>
      </c>
      <c r="F25" s="124">
        <v>0</v>
      </c>
      <c r="G25" s="124">
        <v>0</v>
      </c>
      <c r="H25" s="124">
        <v>0</v>
      </c>
      <c r="I25" s="124">
        <v>0</v>
      </c>
      <c r="J25" s="124">
        <v>0</v>
      </c>
      <c r="K25" s="124">
        <v>0</v>
      </c>
      <c r="L25" s="124">
        <v>0</v>
      </c>
      <c r="M25" s="124">
        <v>0</v>
      </c>
    </row>
    <row r="26" spans="1:13" x14ac:dyDescent="0.2">
      <c r="B26" s="13" t="s">
        <v>136</v>
      </c>
      <c r="C26" s="265">
        <f t="shared" si="2"/>
        <v>0</v>
      </c>
      <c r="D26" s="124">
        <v>0</v>
      </c>
      <c r="E26" s="124">
        <v>0</v>
      </c>
      <c r="F26" s="124">
        <v>0</v>
      </c>
      <c r="G26" s="124">
        <v>0</v>
      </c>
      <c r="H26" s="124">
        <v>0</v>
      </c>
      <c r="I26" s="124">
        <v>0</v>
      </c>
      <c r="J26" s="124">
        <v>0</v>
      </c>
      <c r="K26" s="124">
        <v>0</v>
      </c>
      <c r="L26" s="124">
        <v>0</v>
      </c>
      <c r="M26" s="124">
        <v>0</v>
      </c>
    </row>
    <row r="27" spans="1:13" x14ac:dyDescent="0.2">
      <c r="B27" s="13" t="s">
        <v>137</v>
      </c>
      <c r="C27" s="265">
        <f t="shared" si="2"/>
        <v>0</v>
      </c>
      <c r="D27" s="124">
        <v>0</v>
      </c>
      <c r="E27" s="124">
        <v>0</v>
      </c>
      <c r="F27" s="124">
        <v>0</v>
      </c>
      <c r="G27" s="124">
        <v>0</v>
      </c>
      <c r="H27" s="124">
        <v>0</v>
      </c>
      <c r="I27" s="124">
        <v>0</v>
      </c>
      <c r="J27" s="124">
        <v>0</v>
      </c>
      <c r="K27" s="124">
        <v>0</v>
      </c>
      <c r="L27" s="124">
        <v>0</v>
      </c>
      <c r="M27" s="124">
        <v>0</v>
      </c>
    </row>
    <row r="28" spans="1:13" outlineLevel="1" x14ac:dyDescent="0.2">
      <c r="B28" s="258" t="s">
        <v>78</v>
      </c>
      <c r="C28" s="265">
        <f t="shared" si="2"/>
        <v>0</v>
      </c>
      <c r="D28" s="124">
        <v>0</v>
      </c>
      <c r="E28" s="124">
        <v>0</v>
      </c>
      <c r="F28" s="124">
        <v>0</v>
      </c>
      <c r="G28" s="124">
        <v>0</v>
      </c>
      <c r="H28" s="124">
        <v>0</v>
      </c>
      <c r="I28" s="124">
        <v>0</v>
      </c>
      <c r="J28" s="124">
        <v>0</v>
      </c>
      <c r="K28" s="124">
        <v>0</v>
      </c>
      <c r="L28" s="124">
        <v>0</v>
      </c>
      <c r="M28" s="124">
        <v>0</v>
      </c>
    </row>
    <row r="29" spans="1:13" outlineLevel="1" x14ac:dyDescent="0.2">
      <c r="B29" s="258" t="s">
        <v>78</v>
      </c>
      <c r="C29" s="265">
        <f t="shared" si="2"/>
        <v>0</v>
      </c>
      <c r="D29" s="124">
        <v>0</v>
      </c>
      <c r="E29" s="124">
        <v>0</v>
      </c>
      <c r="F29" s="124">
        <v>0</v>
      </c>
      <c r="G29" s="124">
        <v>0</v>
      </c>
      <c r="H29" s="124">
        <v>0</v>
      </c>
      <c r="I29" s="124">
        <v>0</v>
      </c>
      <c r="J29" s="124">
        <v>0</v>
      </c>
      <c r="K29" s="124">
        <v>0</v>
      </c>
      <c r="L29" s="124">
        <v>0</v>
      </c>
      <c r="M29" s="124">
        <v>0</v>
      </c>
    </row>
    <row r="30" spans="1:13" outlineLevel="1" x14ac:dyDescent="0.2">
      <c r="B30" s="258" t="s">
        <v>78</v>
      </c>
      <c r="C30" s="265">
        <f t="shared" si="2"/>
        <v>0</v>
      </c>
      <c r="D30" s="124">
        <v>0</v>
      </c>
      <c r="E30" s="124">
        <v>0</v>
      </c>
      <c r="F30" s="124">
        <v>0</v>
      </c>
      <c r="G30" s="124">
        <v>0</v>
      </c>
      <c r="H30" s="124">
        <v>0</v>
      </c>
      <c r="I30" s="124">
        <v>0</v>
      </c>
      <c r="J30" s="124">
        <v>0</v>
      </c>
      <c r="K30" s="124">
        <v>0</v>
      </c>
      <c r="L30" s="124">
        <v>0</v>
      </c>
      <c r="M30" s="124">
        <v>0</v>
      </c>
    </row>
    <row r="31" spans="1:13" outlineLevel="1" x14ac:dyDescent="0.2">
      <c r="B31" s="258" t="s">
        <v>78</v>
      </c>
      <c r="C31" s="265">
        <f t="shared" si="2"/>
        <v>0</v>
      </c>
      <c r="D31" s="124">
        <v>0</v>
      </c>
      <c r="E31" s="124">
        <v>0</v>
      </c>
      <c r="F31" s="124">
        <v>0</v>
      </c>
      <c r="G31" s="124">
        <v>0</v>
      </c>
      <c r="H31" s="124">
        <v>0</v>
      </c>
      <c r="I31" s="124">
        <v>0</v>
      </c>
      <c r="J31" s="124">
        <v>0</v>
      </c>
      <c r="K31" s="124">
        <v>0</v>
      </c>
      <c r="L31" s="124">
        <v>0</v>
      </c>
      <c r="M31" s="124">
        <v>0</v>
      </c>
    </row>
    <row r="32" spans="1:13" outlineLevel="1" x14ac:dyDescent="0.2">
      <c r="B32" s="258" t="s">
        <v>78</v>
      </c>
      <c r="C32" s="265">
        <f t="shared" si="2"/>
        <v>0</v>
      </c>
      <c r="D32" s="124">
        <v>0</v>
      </c>
      <c r="E32" s="124">
        <v>0</v>
      </c>
      <c r="F32" s="124">
        <v>0</v>
      </c>
      <c r="G32" s="124">
        <v>0</v>
      </c>
      <c r="H32" s="124">
        <v>0</v>
      </c>
      <c r="I32" s="124">
        <v>0</v>
      </c>
      <c r="J32" s="124">
        <v>0</v>
      </c>
      <c r="K32" s="124">
        <v>0</v>
      </c>
      <c r="L32" s="124">
        <v>0</v>
      </c>
      <c r="M32" s="124">
        <v>0</v>
      </c>
    </row>
    <row r="33" spans="1:13" x14ac:dyDescent="0.2">
      <c r="A33" s="111"/>
      <c r="B33" s="23" t="s">
        <v>138</v>
      </c>
      <c r="C33" s="262">
        <f>SUM(C15:C32)</f>
        <v>0</v>
      </c>
      <c r="D33" s="253">
        <f>SUM(D15:D32)</f>
        <v>0</v>
      </c>
      <c r="E33" s="253">
        <f t="shared" ref="E33:M33" si="3">SUM(E15:E32)</f>
        <v>0</v>
      </c>
      <c r="F33" s="253">
        <f t="shared" si="3"/>
        <v>0</v>
      </c>
      <c r="G33" s="253">
        <f t="shared" si="3"/>
        <v>0</v>
      </c>
      <c r="H33" s="253">
        <f t="shared" si="3"/>
        <v>0</v>
      </c>
      <c r="I33" s="253">
        <f t="shared" si="3"/>
        <v>0</v>
      </c>
      <c r="J33" s="253">
        <f t="shared" si="3"/>
        <v>0</v>
      </c>
      <c r="K33" s="253">
        <f t="shared" si="3"/>
        <v>0</v>
      </c>
      <c r="L33" s="253">
        <f t="shared" si="3"/>
        <v>0</v>
      </c>
      <c r="M33" s="253">
        <f t="shared" si="3"/>
        <v>0</v>
      </c>
    </row>
    <row r="34" spans="1:13" x14ac:dyDescent="0.2">
      <c r="A34" s="111"/>
      <c r="B34" s="27" t="s">
        <v>139</v>
      </c>
      <c r="C34" s="266">
        <f>SUM(C13,C33)</f>
        <v>0</v>
      </c>
      <c r="D34" s="196">
        <f>D33+D13</f>
        <v>0</v>
      </c>
      <c r="E34" s="196">
        <f t="shared" ref="E34:M34" si="4">E33+E13</f>
        <v>0</v>
      </c>
      <c r="F34" s="196">
        <f t="shared" si="4"/>
        <v>0</v>
      </c>
      <c r="G34" s="196">
        <f t="shared" si="4"/>
        <v>0</v>
      </c>
      <c r="H34" s="196">
        <f t="shared" si="4"/>
        <v>0</v>
      </c>
      <c r="I34" s="196">
        <f t="shared" si="4"/>
        <v>0</v>
      </c>
      <c r="J34" s="196">
        <f t="shared" si="4"/>
        <v>0</v>
      </c>
      <c r="K34" s="196">
        <f t="shared" si="4"/>
        <v>0</v>
      </c>
      <c r="L34" s="196">
        <f t="shared" si="4"/>
        <v>0</v>
      </c>
      <c r="M34" s="196">
        <f t="shared" si="4"/>
        <v>0</v>
      </c>
    </row>
    <row r="35" spans="1:13" ht="15" x14ac:dyDescent="0.25">
      <c r="B35" s="25" t="s">
        <v>140</v>
      </c>
      <c r="C35" s="486"/>
      <c r="D35" s="25"/>
      <c r="E35" s="25"/>
      <c r="F35" s="25"/>
      <c r="G35" s="25"/>
      <c r="H35" s="25"/>
      <c r="I35" s="25"/>
      <c r="J35" s="25"/>
      <c r="K35" s="25"/>
      <c r="L35" s="25"/>
      <c r="M35" s="25"/>
    </row>
    <row r="36" spans="1:13" x14ac:dyDescent="0.2">
      <c r="B36" s="13" t="s">
        <v>141</v>
      </c>
      <c r="C36" s="265">
        <f t="shared" ref="C36:C65" si="5">SUM(D36:M36)</f>
        <v>0</v>
      </c>
      <c r="D36" s="124">
        <v>0</v>
      </c>
      <c r="E36" s="124">
        <v>0</v>
      </c>
      <c r="F36" s="124">
        <v>0</v>
      </c>
      <c r="G36" s="124">
        <v>0</v>
      </c>
      <c r="H36" s="124">
        <v>0</v>
      </c>
      <c r="I36" s="124">
        <v>0</v>
      </c>
      <c r="J36" s="124">
        <v>0</v>
      </c>
      <c r="K36" s="124">
        <v>0</v>
      </c>
      <c r="L36" s="124">
        <v>0</v>
      </c>
      <c r="M36" s="124">
        <v>0</v>
      </c>
    </row>
    <row r="37" spans="1:13" x14ac:dyDescent="0.2">
      <c r="B37" s="13" t="s">
        <v>142</v>
      </c>
      <c r="C37" s="265">
        <f>SUM(D37:M37)</f>
        <v>0</v>
      </c>
      <c r="D37" s="124">
        <v>0</v>
      </c>
      <c r="E37" s="124">
        <v>0</v>
      </c>
      <c r="F37" s="124">
        <v>0</v>
      </c>
      <c r="G37" s="124">
        <v>0</v>
      </c>
      <c r="H37" s="124">
        <v>0</v>
      </c>
      <c r="I37" s="124">
        <v>0</v>
      </c>
      <c r="J37" s="124">
        <v>0</v>
      </c>
      <c r="K37" s="124">
        <v>0</v>
      </c>
      <c r="L37" s="124">
        <v>0</v>
      </c>
      <c r="M37" s="124">
        <v>0</v>
      </c>
    </row>
    <row r="38" spans="1:13" x14ac:dyDescent="0.2">
      <c r="A38" s="346"/>
      <c r="B38" s="13" t="s">
        <v>565</v>
      </c>
      <c r="C38" s="265">
        <f t="shared" si="5"/>
        <v>0</v>
      </c>
      <c r="D38" s="124">
        <v>0</v>
      </c>
      <c r="E38" s="124">
        <v>0</v>
      </c>
      <c r="F38" s="124">
        <v>0</v>
      </c>
      <c r="G38" s="124">
        <v>0</v>
      </c>
      <c r="H38" s="124">
        <v>0</v>
      </c>
      <c r="I38" s="124">
        <v>0</v>
      </c>
      <c r="J38" s="124">
        <v>0</v>
      </c>
      <c r="K38" s="124">
        <v>0</v>
      </c>
      <c r="L38" s="124">
        <v>0</v>
      </c>
      <c r="M38" s="124">
        <v>0</v>
      </c>
    </row>
    <row r="39" spans="1:13" x14ac:dyDescent="0.2">
      <c r="B39" s="15" t="s">
        <v>143</v>
      </c>
      <c r="C39" s="265">
        <f t="shared" si="5"/>
        <v>0</v>
      </c>
      <c r="D39" s="124">
        <v>0</v>
      </c>
      <c r="E39" s="124">
        <v>0</v>
      </c>
      <c r="F39" s="124">
        <v>0</v>
      </c>
      <c r="G39" s="124">
        <v>0</v>
      </c>
      <c r="H39" s="124">
        <v>0</v>
      </c>
      <c r="I39" s="124">
        <v>0</v>
      </c>
      <c r="J39" s="124">
        <v>0</v>
      </c>
      <c r="K39" s="124">
        <v>0</v>
      </c>
      <c r="L39" s="124">
        <v>0</v>
      </c>
      <c r="M39" s="124">
        <v>0</v>
      </c>
    </row>
    <row r="40" spans="1:13" x14ac:dyDescent="0.2">
      <c r="B40" s="13" t="s">
        <v>144</v>
      </c>
      <c r="C40" s="265">
        <f t="shared" si="5"/>
        <v>0</v>
      </c>
      <c r="D40" s="124">
        <v>0</v>
      </c>
      <c r="E40" s="124">
        <v>0</v>
      </c>
      <c r="F40" s="124">
        <v>0</v>
      </c>
      <c r="G40" s="124">
        <v>0</v>
      </c>
      <c r="H40" s="124">
        <v>0</v>
      </c>
      <c r="I40" s="124">
        <v>0</v>
      </c>
      <c r="J40" s="124">
        <v>0</v>
      </c>
      <c r="K40" s="124">
        <v>0</v>
      </c>
      <c r="L40" s="124">
        <v>0</v>
      </c>
      <c r="M40" s="124">
        <v>0</v>
      </c>
    </row>
    <row r="41" spans="1:13" x14ac:dyDescent="0.2">
      <c r="B41" s="13" t="s">
        <v>145</v>
      </c>
      <c r="C41" s="265">
        <f t="shared" si="5"/>
        <v>0</v>
      </c>
      <c r="D41" s="124">
        <v>0</v>
      </c>
      <c r="E41" s="124">
        <v>0</v>
      </c>
      <c r="F41" s="124">
        <v>0</v>
      </c>
      <c r="G41" s="124">
        <v>0</v>
      </c>
      <c r="H41" s="124">
        <v>0</v>
      </c>
      <c r="I41" s="124">
        <v>0</v>
      </c>
      <c r="J41" s="124">
        <v>0</v>
      </c>
      <c r="K41" s="124">
        <v>0</v>
      </c>
      <c r="L41" s="124">
        <v>0</v>
      </c>
      <c r="M41" s="124">
        <v>0</v>
      </c>
    </row>
    <row r="42" spans="1:13" x14ac:dyDescent="0.2">
      <c r="B42" s="13" t="s">
        <v>146</v>
      </c>
      <c r="C42" s="265">
        <f t="shared" si="5"/>
        <v>0</v>
      </c>
      <c r="D42" s="124">
        <v>0</v>
      </c>
      <c r="E42" s="124">
        <v>0</v>
      </c>
      <c r="F42" s="124">
        <v>0</v>
      </c>
      <c r="G42" s="124">
        <v>0</v>
      </c>
      <c r="H42" s="124">
        <v>0</v>
      </c>
      <c r="I42" s="124">
        <v>0</v>
      </c>
      <c r="J42" s="124">
        <v>0</v>
      </c>
      <c r="K42" s="124">
        <v>0</v>
      </c>
      <c r="L42" s="124">
        <v>0</v>
      </c>
      <c r="M42" s="124">
        <v>0</v>
      </c>
    </row>
    <row r="43" spans="1:13" x14ac:dyDescent="0.2">
      <c r="B43" s="13" t="s">
        <v>147</v>
      </c>
      <c r="C43" s="265">
        <f t="shared" si="5"/>
        <v>0</v>
      </c>
      <c r="D43" s="124">
        <v>0</v>
      </c>
      <c r="E43" s="124">
        <v>0</v>
      </c>
      <c r="F43" s="124">
        <v>0</v>
      </c>
      <c r="G43" s="124">
        <v>0</v>
      </c>
      <c r="H43" s="124">
        <v>0</v>
      </c>
      <c r="I43" s="124">
        <v>0</v>
      </c>
      <c r="J43" s="124">
        <v>0</v>
      </c>
      <c r="K43" s="124">
        <v>0</v>
      </c>
      <c r="L43" s="124">
        <v>0</v>
      </c>
      <c r="M43" s="124">
        <v>0</v>
      </c>
    </row>
    <row r="44" spans="1:13" x14ac:dyDescent="0.2">
      <c r="B44" s="13" t="s">
        <v>148</v>
      </c>
      <c r="C44" s="265">
        <f t="shared" si="5"/>
        <v>0</v>
      </c>
      <c r="D44" s="124">
        <v>0</v>
      </c>
      <c r="E44" s="124">
        <v>0</v>
      </c>
      <c r="F44" s="124">
        <v>0</v>
      </c>
      <c r="G44" s="124">
        <v>0</v>
      </c>
      <c r="H44" s="124">
        <v>0</v>
      </c>
      <c r="I44" s="124">
        <v>0</v>
      </c>
      <c r="J44" s="124">
        <v>0</v>
      </c>
      <c r="K44" s="124">
        <v>0</v>
      </c>
      <c r="L44" s="124">
        <v>0</v>
      </c>
      <c r="M44" s="124">
        <v>0</v>
      </c>
    </row>
    <row r="45" spans="1:13" x14ac:dyDescent="0.2">
      <c r="B45" s="13" t="s">
        <v>149</v>
      </c>
      <c r="C45" s="265">
        <f t="shared" si="5"/>
        <v>0</v>
      </c>
      <c r="D45" s="124">
        <v>0</v>
      </c>
      <c r="E45" s="124">
        <v>0</v>
      </c>
      <c r="F45" s="124">
        <v>0</v>
      </c>
      <c r="G45" s="124">
        <v>0</v>
      </c>
      <c r="H45" s="124">
        <v>0</v>
      </c>
      <c r="I45" s="124">
        <v>0</v>
      </c>
      <c r="J45" s="124">
        <v>0</v>
      </c>
      <c r="K45" s="124">
        <v>0</v>
      </c>
      <c r="L45" s="124">
        <v>0</v>
      </c>
      <c r="M45" s="124">
        <v>0</v>
      </c>
    </row>
    <row r="46" spans="1:13" x14ac:dyDescent="0.2">
      <c r="B46" s="13" t="s">
        <v>150</v>
      </c>
      <c r="C46" s="265">
        <f t="shared" si="5"/>
        <v>0</v>
      </c>
      <c r="D46" s="124">
        <v>0</v>
      </c>
      <c r="E46" s="124">
        <v>0</v>
      </c>
      <c r="F46" s="124">
        <v>0</v>
      </c>
      <c r="G46" s="124">
        <v>0</v>
      </c>
      <c r="H46" s="124">
        <v>0</v>
      </c>
      <c r="I46" s="124">
        <v>0</v>
      </c>
      <c r="J46" s="124">
        <v>0</v>
      </c>
      <c r="K46" s="124">
        <v>0</v>
      </c>
      <c r="L46" s="124">
        <v>0</v>
      </c>
      <c r="M46" s="124">
        <v>0</v>
      </c>
    </row>
    <row r="47" spans="1:13" x14ac:dyDescent="0.2">
      <c r="B47" s="13" t="s">
        <v>151</v>
      </c>
      <c r="C47" s="265">
        <f>SUM(D47:M47)</f>
        <v>0</v>
      </c>
      <c r="D47" s="124">
        <v>0</v>
      </c>
      <c r="E47" s="124">
        <v>0</v>
      </c>
      <c r="F47" s="124">
        <v>0</v>
      </c>
      <c r="G47" s="124">
        <v>0</v>
      </c>
      <c r="H47" s="124">
        <v>0</v>
      </c>
      <c r="I47" s="124">
        <v>0</v>
      </c>
      <c r="J47" s="124">
        <v>0</v>
      </c>
      <c r="K47" s="124">
        <v>0</v>
      </c>
      <c r="L47" s="124">
        <v>0</v>
      </c>
      <c r="M47" s="124">
        <v>0</v>
      </c>
    </row>
    <row r="48" spans="1:13" x14ac:dyDescent="0.2">
      <c r="B48" s="13" t="s">
        <v>152</v>
      </c>
      <c r="C48" s="265">
        <f t="shared" si="5"/>
        <v>0</v>
      </c>
      <c r="D48" s="124">
        <v>0</v>
      </c>
      <c r="E48" s="124">
        <v>0</v>
      </c>
      <c r="F48" s="124">
        <v>0</v>
      </c>
      <c r="G48" s="124">
        <v>0</v>
      </c>
      <c r="H48" s="124">
        <v>0</v>
      </c>
      <c r="I48" s="124">
        <v>0</v>
      </c>
      <c r="J48" s="124">
        <v>0</v>
      </c>
      <c r="K48" s="124">
        <v>0</v>
      </c>
      <c r="L48" s="124">
        <v>0</v>
      </c>
      <c r="M48" s="124">
        <v>0</v>
      </c>
    </row>
    <row r="49" spans="2:13" x14ac:dyDescent="0.2">
      <c r="B49" s="13" t="s">
        <v>153</v>
      </c>
      <c r="C49" s="265">
        <f t="shared" si="5"/>
        <v>0</v>
      </c>
      <c r="D49" s="124">
        <v>0</v>
      </c>
      <c r="E49" s="124">
        <v>0</v>
      </c>
      <c r="F49" s="124">
        <v>0</v>
      </c>
      <c r="G49" s="124">
        <v>0</v>
      </c>
      <c r="H49" s="124">
        <v>0</v>
      </c>
      <c r="I49" s="124">
        <v>0</v>
      </c>
      <c r="J49" s="124">
        <v>0</v>
      </c>
      <c r="K49" s="124">
        <v>0</v>
      </c>
      <c r="L49" s="124">
        <v>0</v>
      </c>
      <c r="M49" s="124">
        <v>0</v>
      </c>
    </row>
    <row r="50" spans="2:13" x14ac:dyDescent="0.2">
      <c r="B50" s="13" t="s">
        <v>154</v>
      </c>
      <c r="C50" s="265">
        <f t="shared" si="5"/>
        <v>0</v>
      </c>
      <c r="D50" s="124">
        <v>0</v>
      </c>
      <c r="E50" s="124">
        <v>0</v>
      </c>
      <c r="F50" s="124">
        <v>0</v>
      </c>
      <c r="G50" s="124">
        <v>0</v>
      </c>
      <c r="H50" s="124">
        <v>0</v>
      </c>
      <c r="I50" s="124">
        <v>0</v>
      </c>
      <c r="J50" s="124">
        <v>0</v>
      </c>
      <c r="K50" s="124">
        <v>0</v>
      </c>
      <c r="L50" s="124">
        <v>0</v>
      </c>
      <c r="M50" s="124">
        <v>0</v>
      </c>
    </row>
    <row r="51" spans="2:13" x14ac:dyDescent="0.2">
      <c r="B51" s="13" t="s">
        <v>155</v>
      </c>
      <c r="C51" s="265">
        <f t="shared" si="5"/>
        <v>0</v>
      </c>
      <c r="D51" s="124">
        <v>0</v>
      </c>
      <c r="E51" s="124">
        <v>0</v>
      </c>
      <c r="F51" s="124">
        <v>0</v>
      </c>
      <c r="G51" s="124">
        <v>0</v>
      </c>
      <c r="H51" s="124">
        <v>0</v>
      </c>
      <c r="I51" s="124">
        <v>0</v>
      </c>
      <c r="J51" s="124">
        <v>0</v>
      </c>
      <c r="K51" s="124">
        <v>0</v>
      </c>
      <c r="L51" s="124">
        <v>0</v>
      </c>
      <c r="M51" s="124">
        <v>0</v>
      </c>
    </row>
    <row r="52" spans="2:13" x14ac:dyDescent="0.2">
      <c r="B52" s="13" t="s">
        <v>156</v>
      </c>
      <c r="C52" s="265">
        <f t="shared" si="5"/>
        <v>0</v>
      </c>
      <c r="D52" s="124">
        <v>0</v>
      </c>
      <c r="E52" s="124">
        <v>0</v>
      </c>
      <c r="F52" s="124">
        <v>0</v>
      </c>
      <c r="G52" s="124">
        <v>0</v>
      </c>
      <c r="H52" s="124">
        <v>0</v>
      </c>
      <c r="I52" s="124">
        <v>0</v>
      </c>
      <c r="J52" s="124">
        <v>0</v>
      </c>
      <c r="K52" s="124">
        <v>0</v>
      </c>
      <c r="L52" s="124">
        <v>0</v>
      </c>
      <c r="M52" s="124">
        <v>0</v>
      </c>
    </row>
    <row r="53" spans="2:13" x14ac:dyDescent="0.2">
      <c r="B53" s="13" t="s">
        <v>157</v>
      </c>
      <c r="C53" s="265">
        <f t="shared" si="5"/>
        <v>0</v>
      </c>
      <c r="D53" s="124">
        <v>0</v>
      </c>
      <c r="E53" s="124">
        <v>0</v>
      </c>
      <c r="F53" s="124">
        <v>0</v>
      </c>
      <c r="G53" s="124">
        <v>0</v>
      </c>
      <c r="H53" s="124">
        <v>0</v>
      </c>
      <c r="I53" s="124">
        <v>0</v>
      </c>
      <c r="J53" s="124">
        <v>0</v>
      </c>
      <c r="K53" s="124">
        <v>0</v>
      </c>
      <c r="L53" s="124">
        <v>0</v>
      </c>
      <c r="M53" s="124">
        <v>0</v>
      </c>
    </row>
    <row r="54" spans="2:13" x14ac:dyDescent="0.2">
      <c r="B54" s="13" t="s">
        <v>158</v>
      </c>
      <c r="C54" s="265">
        <f t="shared" si="5"/>
        <v>0</v>
      </c>
      <c r="D54" s="124">
        <v>0</v>
      </c>
      <c r="E54" s="124">
        <v>0</v>
      </c>
      <c r="F54" s="124">
        <v>0</v>
      </c>
      <c r="G54" s="124">
        <v>0</v>
      </c>
      <c r="H54" s="124">
        <v>0</v>
      </c>
      <c r="I54" s="124">
        <v>0</v>
      </c>
      <c r="J54" s="124">
        <v>0</v>
      </c>
      <c r="K54" s="124">
        <v>0</v>
      </c>
      <c r="L54" s="124">
        <v>0</v>
      </c>
      <c r="M54" s="124">
        <v>0</v>
      </c>
    </row>
    <row r="55" spans="2:13" x14ac:dyDescent="0.2">
      <c r="B55" s="13" t="s">
        <v>159</v>
      </c>
      <c r="C55" s="265">
        <f t="shared" si="5"/>
        <v>0</v>
      </c>
      <c r="D55" s="124">
        <v>0</v>
      </c>
      <c r="E55" s="124">
        <v>0</v>
      </c>
      <c r="F55" s="124">
        <v>0</v>
      </c>
      <c r="G55" s="124">
        <v>0</v>
      </c>
      <c r="H55" s="124">
        <v>0</v>
      </c>
      <c r="I55" s="124">
        <v>0</v>
      </c>
      <c r="J55" s="124">
        <v>0</v>
      </c>
      <c r="K55" s="124">
        <v>0</v>
      </c>
      <c r="L55" s="124">
        <v>0</v>
      </c>
      <c r="M55" s="124">
        <v>0</v>
      </c>
    </row>
    <row r="56" spans="2:13" x14ac:dyDescent="0.2">
      <c r="B56" s="13" t="s">
        <v>160</v>
      </c>
      <c r="C56" s="265">
        <f t="shared" si="5"/>
        <v>0</v>
      </c>
      <c r="D56" s="124">
        <v>0</v>
      </c>
      <c r="E56" s="124">
        <v>0</v>
      </c>
      <c r="F56" s="124">
        <v>0</v>
      </c>
      <c r="G56" s="124">
        <v>0</v>
      </c>
      <c r="H56" s="124">
        <v>0</v>
      </c>
      <c r="I56" s="124">
        <v>0</v>
      </c>
      <c r="J56" s="124">
        <v>0</v>
      </c>
      <c r="K56" s="124">
        <v>0</v>
      </c>
      <c r="L56" s="124">
        <v>0</v>
      </c>
      <c r="M56" s="124">
        <v>0</v>
      </c>
    </row>
    <row r="57" spans="2:13" x14ac:dyDescent="0.2">
      <c r="B57" s="13" t="s">
        <v>161</v>
      </c>
      <c r="C57" s="265">
        <f t="shared" si="5"/>
        <v>0</v>
      </c>
      <c r="D57" s="124">
        <v>0</v>
      </c>
      <c r="E57" s="124">
        <v>0</v>
      </c>
      <c r="F57" s="124">
        <v>0</v>
      </c>
      <c r="G57" s="124">
        <v>0</v>
      </c>
      <c r="H57" s="124">
        <v>0</v>
      </c>
      <c r="I57" s="124">
        <v>0</v>
      </c>
      <c r="J57" s="124">
        <v>0</v>
      </c>
      <c r="K57" s="124">
        <v>0</v>
      </c>
      <c r="L57" s="124">
        <v>0</v>
      </c>
      <c r="M57" s="124">
        <v>0</v>
      </c>
    </row>
    <row r="58" spans="2:13" outlineLevel="1" x14ac:dyDescent="0.2">
      <c r="B58" s="258" t="s">
        <v>78</v>
      </c>
      <c r="C58" s="265">
        <f t="shared" si="5"/>
        <v>0</v>
      </c>
      <c r="D58" s="124">
        <v>0</v>
      </c>
      <c r="E58" s="124">
        <v>0</v>
      </c>
      <c r="F58" s="124">
        <v>0</v>
      </c>
      <c r="G58" s="124">
        <v>0</v>
      </c>
      <c r="H58" s="124">
        <v>0</v>
      </c>
      <c r="I58" s="124">
        <v>0</v>
      </c>
      <c r="J58" s="124">
        <v>0</v>
      </c>
      <c r="K58" s="124">
        <v>0</v>
      </c>
      <c r="L58" s="124">
        <v>0</v>
      </c>
      <c r="M58" s="124">
        <v>0</v>
      </c>
    </row>
    <row r="59" spans="2:13" outlineLevel="1" x14ac:dyDescent="0.2">
      <c r="B59" s="258" t="s">
        <v>78</v>
      </c>
      <c r="C59" s="265">
        <f t="shared" si="5"/>
        <v>0</v>
      </c>
      <c r="D59" s="124">
        <v>0</v>
      </c>
      <c r="E59" s="124">
        <v>0</v>
      </c>
      <c r="F59" s="124">
        <v>0</v>
      </c>
      <c r="G59" s="124">
        <v>0</v>
      </c>
      <c r="H59" s="124">
        <v>0</v>
      </c>
      <c r="I59" s="124">
        <v>0</v>
      </c>
      <c r="J59" s="124">
        <v>0</v>
      </c>
      <c r="K59" s="124">
        <v>0</v>
      </c>
      <c r="L59" s="124">
        <v>0</v>
      </c>
      <c r="M59" s="124">
        <v>0</v>
      </c>
    </row>
    <row r="60" spans="2:13" outlineLevel="1" x14ac:dyDescent="0.2">
      <c r="B60" s="258" t="s">
        <v>78</v>
      </c>
      <c r="C60" s="265">
        <f t="shared" si="5"/>
        <v>0</v>
      </c>
      <c r="D60" s="124">
        <v>0</v>
      </c>
      <c r="E60" s="124">
        <v>0</v>
      </c>
      <c r="F60" s="124">
        <v>0</v>
      </c>
      <c r="G60" s="124">
        <v>0</v>
      </c>
      <c r="H60" s="124">
        <v>0</v>
      </c>
      <c r="I60" s="124">
        <v>0</v>
      </c>
      <c r="J60" s="124">
        <v>0</v>
      </c>
      <c r="K60" s="124">
        <v>0</v>
      </c>
      <c r="L60" s="124">
        <v>0</v>
      </c>
      <c r="M60" s="124">
        <v>0</v>
      </c>
    </row>
    <row r="61" spans="2:13" outlineLevel="1" x14ac:dyDescent="0.2">
      <c r="B61" s="258" t="s">
        <v>78</v>
      </c>
      <c r="C61" s="265">
        <f t="shared" si="5"/>
        <v>0</v>
      </c>
      <c r="D61" s="124">
        <v>0</v>
      </c>
      <c r="E61" s="124">
        <v>0</v>
      </c>
      <c r="F61" s="124">
        <v>0</v>
      </c>
      <c r="G61" s="124">
        <v>0</v>
      </c>
      <c r="H61" s="124">
        <v>0</v>
      </c>
      <c r="I61" s="124">
        <v>0</v>
      </c>
      <c r="J61" s="124">
        <v>0</v>
      </c>
      <c r="K61" s="124">
        <v>0</v>
      </c>
      <c r="L61" s="124">
        <v>0</v>
      </c>
      <c r="M61" s="124">
        <v>0</v>
      </c>
    </row>
    <row r="62" spans="2:13" outlineLevel="1" x14ac:dyDescent="0.2">
      <c r="B62" s="258" t="s">
        <v>78</v>
      </c>
      <c r="C62" s="265">
        <f t="shared" si="5"/>
        <v>0</v>
      </c>
      <c r="D62" s="124">
        <v>0</v>
      </c>
      <c r="E62" s="124">
        <v>0</v>
      </c>
      <c r="F62" s="124">
        <v>0</v>
      </c>
      <c r="G62" s="124">
        <v>0</v>
      </c>
      <c r="H62" s="124">
        <v>0</v>
      </c>
      <c r="I62" s="124">
        <v>0</v>
      </c>
      <c r="J62" s="124">
        <v>0</v>
      </c>
      <c r="K62" s="124">
        <v>0</v>
      </c>
      <c r="L62" s="124">
        <v>0</v>
      </c>
      <c r="M62" s="124">
        <v>0</v>
      </c>
    </row>
    <row r="63" spans="2:13" outlineLevel="1" x14ac:dyDescent="0.2">
      <c r="B63" s="258" t="s">
        <v>78</v>
      </c>
      <c r="C63" s="265">
        <f t="shared" si="5"/>
        <v>0</v>
      </c>
      <c r="D63" s="124">
        <v>0</v>
      </c>
      <c r="E63" s="124">
        <v>0</v>
      </c>
      <c r="F63" s="124">
        <v>0</v>
      </c>
      <c r="G63" s="124">
        <v>0</v>
      </c>
      <c r="H63" s="124">
        <v>0</v>
      </c>
      <c r="I63" s="124">
        <v>0</v>
      </c>
      <c r="J63" s="124">
        <v>0</v>
      </c>
      <c r="K63" s="124">
        <v>0</v>
      </c>
      <c r="L63" s="124">
        <v>0</v>
      </c>
      <c r="M63" s="124">
        <v>0</v>
      </c>
    </row>
    <row r="64" spans="2:13" outlineLevel="1" x14ac:dyDescent="0.2">
      <c r="B64" s="258" t="s">
        <v>78</v>
      </c>
      <c r="C64" s="265">
        <f t="shared" si="5"/>
        <v>0</v>
      </c>
      <c r="D64" s="124">
        <v>0</v>
      </c>
      <c r="E64" s="124">
        <v>0</v>
      </c>
      <c r="F64" s="124">
        <v>0</v>
      </c>
      <c r="G64" s="124">
        <v>0</v>
      </c>
      <c r="H64" s="124">
        <v>0</v>
      </c>
      <c r="I64" s="124">
        <v>0</v>
      </c>
      <c r="J64" s="124">
        <v>0</v>
      </c>
      <c r="K64" s="124">
        <v>0</v>
      </c>
      <c r="L64" s="124">
        <v>0</v>
      </c>
      <c r="M64" s="124">
        <v>0</v>
      </c>
    </row>
    <row r="65" spans="1:13" outlineLevel="1" x14ac:dyDescent="0.2">
      <c r="B65" s="258" t="s">
        <v>78</v>
      </c>
      <c r="C65" s="265">
        <f t="shared" si="5"/>
        <v>0</v>
      </c>
      <c r="D65" s="124">
        <v>0</v>
      </c>
      <c r="E65" s="124">
        <v>0</v>
      </c>
      <c r="F65" s="124">
        <v>0</v>
      </c>
      <c r="G65" s="124">
        <v>0</v>
      </c>
      <c r="H65" s="124">
        <v>0</v>
      </c>
      <c r="I65" s="124">
        <v>0</v>
      </c>
      <c r="J65" s="124">
        <v>0</v>
      </c>
      <c r="K65" s="124">
        <v>0</v>
      </c>
      <c r="L65" s="124">
        <v>0</v>
      </c>
      <c r="M65" s="124">
        <v>0</v>
      </c>
    </row>
    <row r="66" spans="1:13" x14ac:dyDescent="0.2">
      <c r="A66" s="111"/>
      <c r="B66" s="23" t="s">
        <v>162</v>
      </c>
      <c r="C66" s="267">
        <f>SUM(C36:C65)</f>
        <v>0</v>
      </c>
      <c r="D66" s="253">
        <f t="shared" ref="D66:M66" si="6">SUM(D36:D65)</f>
        <v>0</v>
      </c>
      <c r="E66" s="253">
        <f t="shared" si="6"/>
        <v>0</v>
      </c>
      <c r="F66" s="253">
        <f t="shared" si="6"/>
        <v>0</v>
      </c>
      <c r="G66" s="253">
        <f t="shared" si="6"/>
        <v>0</v>
      </c>
      <c r="H66" s="253">
        <f t="shared" si="6"/>
        <v>0</v>
      </c>
      <c r="I66" s="253">
        <f t="shared" si="6"/>
        <v>0</v>
      </c>
      <c r="J66" s="253">
        <f t="shared" si="6"/>
        <v>0</v>
      </c>
      <c r="K66" s="253">
        <f t="shared" si="6"/>
        <v>0</v>
      </c>
      <c r="L66" s="253">
        <f t="shared" si="6"/>
        <v>0</v>
      </c>
      <c r="M66" s="253">
        <f t="shared" si="6"/>
        <v>0</v>
      </c>
    </row>
    <row r="67" spans="1:13" x14ac:dyDescent="0.2">
      <c r="B67" s="26" t="s">
        <v>163</v>
      </c>
      <c r="C67" s="486"/>
      <c r="D67" s="26"/>
      <c r="E67" s="26"/>
      <c r="F67" s="26"/>
      <c r="G67" s="26"/>
      <c r="H67" s="26"/>
      <c r="I67" s="26"/>
      <c r="J67" s="26"/>
      <c r="K67" s="26"/>
      <c r="L67" s="26"/>
      <c r="M67" s="26"/>
    </row>
    <row r="68" spans="1:13" x14ac:dyDescent="0.2">
      <c r="B68" s="13" t="s">
        <v>164</v>
      </c>
      <c r="C68" s="265">
        <f t="shared" ref="C68:C74" si="7">SUM(D68:M68)</f>
        <v>0</v>
      </c>
      <c r="D68" s="124">
        <v>0</v>
      </c>
      <c r="E68" s="124">
        <v>0</v>
      </c>
      <c r="F68" s="124">
        <v>0</v>
      </c>
      <c r="G68" s="124">
        <v>0</v>
      </c>
      <c r="H68" s="124">
        <v>0</v>
      </c>
      <c r="I68" s="124">
        <v>0</v>
      </c>
      <c r="J68" s="124">
        <v>0</v>
      </c>
      <c r="K68" s="124">
        <v>0</v>
      </c>
      <c r="L68" s="124">
        <v>0</v>
      </c>
      <c r="M68" s="124">
        <v>0</v>
      </c>
    </row>
    <row r="69" spans="1:13" x14ac:dyDescent="0.2">
      <c r="B69" s="13" t="s">
        <v>165</v>
      </c>
      <c r="C69" s="265">
        <f t="shared" si="7"/>
        <v>0</v>
      </c>
      <c r="D69" s="124">
        <v>0</v>
      </c>
      <c r="E69" s="124">
        <v>0</v>
      </c>
      <c r="F69" s="124">
        <v>0</v>
      </c>
      <c r="G69" s="124">
        <v>0</v>
      </c>
      <c r="H69" s="124">
        <v>0</v>
      </c>
      <c r="I69" s="124">
        <v>0</v>
      </c>
      <c r="J69" s="124">
        <v>0</v>
      </c>
      <c r="K69" s="124">
        <v>0</v>
      </c>
      <c r="L69" s="124">
        <v>0</v>
      </c>
      <c r="M69" s="124">
        <v>0</v>
      </c>
    </row>
    <row r="70" spans="1:13" x14ac:dyDescent="0.2">
      <c r="B70" s="13" t="s">
        <v>166</v>
      </c>
      <c r="C70" s="265">
        <f t="shared" si="7"/>
        <v>0</v>
      </c>
      <c r="D70" s="124">
        <v>0</v>
      </c>
      <c r="E70" s="124">
        <v>0</v>
      </c>
      <c r="F70" s="124">
        <v>0</v>
      </c>
      <c r="G70" s="124">
        <v>0</v>
      </c>
      <c r="H70" s="124">
        <v>0</v>
      </c>
      <c r="I70" s="124">
        <v>0</v>
      </c>
      <c r="J70" s="124">
        <v>0</v>
      </c>
      <c r="K70" s="124">
        <v>0</v>
      </c>
      <c r="L70" s="124">
        <v>0</v>
      </c>
      <c r="M70" s="124">
        <v>0</v>
      </c>
    </row>
    <row r="71" spans="1:13" x14ac:dyDescent="0.2">
      <c r="B71" s="13" t="s">
        <v>167</v>
      </c>
      <c r="C71" s="265">
        <f t="shared" si="7"/>
        <v>0</v>
      </c>
      <c r="D71" s="124">
        <v>0</v>
      </c>
      <c r="E71" s="124">
        <v>0</v>
      </c>
      <c r="F71" s="124">
        <v>0</v>
      </c>
      <c r="G71" s="124">
        <v>0</v>
      </c>
      <c r="H71" s="124">
        <v>0</v>
      </c>
      <c r="I71" s="124">
        <v>0</v>
      </c>
      <c r="J71" s="124">
        <v>0</v>
      </c>
      <c r="K71" s="124">
        <v>0</v>
      </c>
      <c r="L71" s="124">
        <v>0</v>
      </c>
      <c r="M71" s="124">
        <v>0</v>
      </c>
    </row>
    <row r="72" spans="1:13" outlineLevel="1" x14ac:dyDescent="0.2">
      <c r="B72" s="258" t="s">
        <v>78</v>
      </c>
      <c r="C72" s="265">
        <f t="shared" si="7"/>
        <v>0</v>
      </c>
      <c r="D72" s="124">
        <v>0</v>
      </c>
      <c r="E72" s="124">
        <v>0</v>
      </c>
      <c r="F72" s="124">
        <v>0</v>
      </c>
      <c r="G72" s="124">
        <v>0</v>
      </c>
      <c r="H72" s="124">
        <v>0</v>
      </c>
      <c r="I72" s="124">
        <v>0</v>
      </c>
      <c r="J72" s="124">
        <v>0</v>
      </c>
      <c r="K72" s="124">
        <v>0</v>
      </c>
      <c r="L72" s="124">
        <v>0</v>
      </c>
      <c r="M72" s="124">
        <v>0</v>
      </c>
    </row>
    <row r="73" spans="1:13" outlineLevel="1" x14ac:dyDescent="0.2">
      <c r="B73" s="258" t="s">
        <v>78</v>
      </c>
      <c r="C73" s="265">
        <f t="shared" si="7"/>
        <v>0</v>
      </c>
      <c r="D73" s="124">
        <v>0</v>
      </c>
      <c r="E73" s="124">
        <v>0</v>
      </c>
      <c r="F73" s="124">
        <v>0</v>
      </c>
      <c r="G73" s="124">
        <v>0</v>
      </c>
      <c r="H73" s="124">
        <v>0</v>
      </c>
      <c r="I73" s="124">
        <v>0</v>
      </c>
      <c r="J73" s="124">
        <v>0</v>
      </c>
      <c r="K73" s="124">
        <v>0</v>
      </c>
      <c r="L73" s="124">
        <v>0</v>
      </c>
      <c r="M73" s="124">
        <v>0</v>
      </c>
    </row>
    <row r="74" spans="1:13" outlineLevel="1" x14ac:dyDescent="0.2">
      <c r="B74" s="258" t="s">
        <v>78</v>
      </c>
      <c r="C74" s="265">
        <f t="shared" si="7"/>
        <v>0</v>
      </c>
      <c r="D74" s="124">
        <v>0</v>
      </c>
      <c r="E74" s="124">
        <v>0</v>
      </c>
      <c r="F74" s="124">
        <v>0</v>
      </c>
      <c r="G74" s="124">
        <v>0</v>
      </c>
      <c r="H74" s="124">
        <v>0</v>
      </c>
      <c r="I74" s="124">
        <v>0</v>
      </c>
      <c r="J74" s="124">
        <v>0</v>
      </c>
      <c r="K74" s="124">
        <v>0</v>
      </c>
      <c r="L74" s="124">
        <v>0</v>
      </c>
      <c r="M74" s="124">
        <v>0</v>
      </c>
    </row>
    <row r="75" spans="1:13" x14ac:dyDescent="0.2">
      <c r="A75" s="111"/>
      <c r="B75" s="23" t="s">
        <v>168</v>
      </c>
      <c r="C75" s="267">
        <f>SUM(C68:C74)</f>
        <v>0</v>
      </c>
      <c r="D75" s="253">
        <f>SUM(D68:D74)</f>
        <v>0</v>
      </c>
      <c r="E75" s="253">
        <f>SUM(E68:E74)</f>
        <v>0</v>
      </c>
      <c r="F75" s="253">
        <f>SUM(F68:F74)</f>
        <v>0</v>
      </c>
      <c r="G75" s="253">
        <f t="shared" ref="G75:L75" si="8">SUM(G68:G74)</f>
        <v>0</v>
      </c>
      <c r="H75" s="253">
        <f t="shared" si="8"/>
        <v>0</v>
      </c>
      <c r="I75" s="253">
        <f t="shared" si="8"/>
        <v>0</v>
      </c>
      <c r="J75" s="253">
        <f t="shared" si="8"/>
        <v>0</v>
      </c>
      <c r="K75" s="253">
        <f t="shared" si="8"/>
        <v>0</v>
      </c>
      <c r="L75" s="253">
        <f t="shared" si="8"/>
        <v>0</v>
      </c>
      <c r="M75" s="253">
        <f>SUM(M68:M74)</f>
        <v>0</v>
      </c>
    </row>
    <row r="76" spans="1:13" x14ac:dyDescent="0.2">
      <c r="B76" s="26" t="s">
        <v>169</v>
      </c>
      <c r="C76" s="487"/>
      <c r="D76" s="26"/>
      <c r="E76" s="26"/>
      <c r="F76" s="26"/>
      <c r="G76" s="26"/>
      <c r="H76" s="26"/>
      <c r="I76" s="26"/>
      <c r="J76" s="26"/>
      <c r="K76" s="26"/>
      <c r="L76" s="26"/>
      <c r="M76" s="26"/>
    </row>
    <row r="77" spans="1:13" x14ac:dyDescent="0.2">
      <c r="B77" s="13" t="s">
        <v>170</v>
      </c>
      <c r="C77" s="265">
        <f>SUM(D77:M77)</f>
        <v>0</v>
      </c>
      <c r="D77" s="124">
        <v>0</v>
      </c>
      <c r="E77" s="124">
        <v>0</v>
      </c>
      <c r="F77" s="124">
        <v>0</v>
      </c>
      <c r="G77" s="124">
        <v>0</v>
      </c>
      <c r="H77" s="124">
        <v>0</v>
      </c>
      <c r="I77" s="124">
        <v>0</v>
      </c>
      <c r="J77" s="124">
        <v>0</v>
      </c>
      <c r="K77" s="124">
        <v>0</v>
      </c>
      <c r="L77" s="124">
        <v>0</v>
      </c>
      <c r="M77" s="124">
        <v>0</v>
      </c>
    </row>
    <row r="78" spans="1:13" x14ac:dyDescent="0.2">
      <c r="B78" s="13" t="s">
        <v>171</v>
      </c>
      <c r="C78" s="265">
        <f t="shared" ref="C78:C79" si="9">SUM(D78:M78)</f>
        <v>0</v>
      </c>
      <c r="D78" s="124">
        <v>0</v>
      </c>
      <c r="E78" s="124">
        <v>0</v>
      </c>
      <c r="F78" s="124">
        <v>0</v>
      </c>
      <c r="G78" s="124">
        <v>0</v>
      </c>
      <c r="H78" s="124">
        <v>0</v>
      </c>
      <c r="I78" s="124">
        <v>0</v>
      </c>
      <c r="J78" s="124">
        <v>0</v>
      </c>
      <c r="K78" s="124">
        <v>0</v>
      </c>
      <c r="L78" s="124">
        <v>0</v>
      </c>
      <c r="M78" s="124">
        <v>0</v>
      </c>
    </row>
    <row r="79" spans="1:13" x14ac:dyDescent="0.2">
      <c r="B79" s="13" t="s">
        <v>172</v>
      </c>
      <c r="C79" s="265">
        <f t="shared" si="9"/>
        <v>0</v>
      </c>
      <c r="D79" s="124">
        <v>0</v>
      </c>
      <c r="E79" s="124">
        <v>0</v>
      </c>
      <c r="F79" s="124">
        <v>0</v>
      </c>
      <c r="G79" s="124">
        <v>0</v>
      </c>
      <c r="H79" s="124">
        <v>0</v>
      </c>
      <c r="I79" s="124">
        <v>0</v>
      </c>
      <c r="J79" s="124">
        <v>0</v>
      </c>
      <c r="K79" s="124">
        <v>0</v>
      </c>
      <c r="L79" s="124">
        <v>0</v>
      </c>
      <c r="M79" s="124">
        <v>0</v>
      </c>
    </row>
    <row r="80" spans="1:13" outlineLevel="1" x14ac:dyDescent="0.2">
      <c r="B80" s="258" t="s">
        <v>78</v>
      </c>
      <c r="C80" s="265">
        <f>SUM(D80:M80)</f>
        <v>0</v>
      </c>
      <c r="D80" s="124">
        <v>0</v>
      </c>
      <c r="E80" s="124">
        <v>0</v>
      </c>
      <c r="F80" s="124">
        <v>0</v>
      </c>
      <c r="G80" s="124">
        <v>0</v>
      </c>
      <c r="H80" s="124">
        <v>0</v>
      </c>
      <c r="I80" s="124">
        <v>0</v>
      </c>
      <c r="J80" s="124">
        <v>0</v>
      </c>
      <c r="K80" s="124">
        <v>0</v>
      </c>
      <c r="L80" s="124">
        <v>0</v>
      </c>
      <c r="M80" s="124">
        <v>0</v>
      </c>
    </row>
    <row r="81" spans="1:15" outlineLevel="1" x14ac:dyDescent="0.2">
      <c r="B81" s="258" t="s">
        <v>78</v>
      </c>
      <c r="C81" s="265">
        <f t="shared" ref="C81" si="10">SUM(D81:M81)</f>
        <v>0</v>
      </c>
      <c r="D81" s="124">
        <v>0</v>
      </c>
      <c r="E81" s="124">
        <v>0</v>
      </c>
      <c r="F81" s="124">
        <v>0</v>
      </c>
      <c r="G81" s="124">
        <v>0</v>
      </c>
      <c r="H81" s="124">
        <v>0</v>
      </c>
      <c r="I81" s="124">
        <v>0</v>
      </c>
      <c r="J81" s="124">
        <v>0</v>
      </c>
      <c r="K81" s="124">
        <v>0</v>
      </c>
      <c r="L81" s="124">
        <v>0</v>
      </c>
      <c r="M81" s="124">
        <v>0</v>
      </c>
    </row>
    <row r="82" spans="1:15" outlineLevel="1" x14ac:dyDescent="0.2">
      <c r="B82" s="258" t="s">
        <v>78</v>
      </c>
      <c r="C82" s="265">
        <f>SUM(D82:M82)</f>
        <v>0</v>
      </c>
      <c r="D82" s="124">
        <v>0</v>
      </c>
      <c r="E82" s="124">
        <v>0</v>
      </c>
      <c r="F82" s="124">
        <v>0</v>
      </c>
      <c r="G82" s="124">
        <v>0</v>
      </c>
      <c r="H82" s="124">
        <v>0</v>
      </c>
      <c r="I82" s="124">
        <v>0</v>
      </c>
      <c r="J82" s="124">
        <v>0</v>
      </c>
      <c r="K82" s="124">
        <v>0</v>
      </c>
      <c r="L82" s="124">
        <v>0</v>
      </c>
      <c r="M82" s="124">
        <v>0</v>
      </c>
    </row>
    <row r="83" spans="1:15" x14ac:dyDescent="0.2">
      <c r="A83" s="111"/>
      <c r="B83" s="23" t="s">
        <v>173</v>
      </c>
      <c r="C83" s="267">
        <f>SUM(C77:C82)</f>
        <v>0</v>
      </c>
      <c r="D83" s="253">
        <f>SUM(D77:D82)</f>
        <v>0</v>
      </c>
      <c r="E83" s="253">
        <f t="shared" ref="E83:M83" si="11">SUM(E77:E82)</f>
        <v>0</v>
      </c>
      <c r="F83" s="253">
        <f t="shared" si="11"/>
        <v>0</v>
      </c>
      <c r="G83" s="253">
        <f t="shared" si="11"/>
        <v>0</v>
      </c>
      <c r="H83" s="253">
        <f t="shared" si="11"/>
        <v>0</v>
      </c>
      <c r="I83" s="253">
        <f t="shared" si="11"/>
        <v>0</v>
      </c>
      <c r="J83" s="253">
        <f t="shared" si="11"/>
        <v>0</v>
      </c>
      <c r="K83" s="253">
        <f t="shared" si="11"/>
        <v>0</v>
      </c>
      <c r="L83" s="253">
        <f t="shared" si="11"/>
        <v>0</v>
      </c>
      <c r="M83" s="253">
        <f t="shared" si="11"/>
        <v>0</v>
      </c>
    </row>
    <row r="84" spans="1:15" x14ac:dyDescent="0.2">
      <c r="B84" s="26" t="s">
        <v>174</v>
      </c>
      <c r="C84" s="487"/>
      <c r="D84" s="26"/>
      <c r="E84" s="26"/>
      <c r="F84" s="26"/>
      <c r="G84" s="26"/>
      <c r="H84" s="26"/>
      <c r="I84" s="26"/>
      <c r="J84" s="26"/>
      <c r="K84" s="26"/>
      <c r="L84" s="26"/>
      <c r="M84" s="26"/>
    </row>
    <row r="85" spans="1:15" x14ac:dyDescent="0.2">
      <c r="B85" s="13" t="s">
        <v>175</v>
      </c>
      <c r="C85" s="265">
        <f t="shared" ref="C85:C89" si="12">SUM(D85:M85)</f>
        <v>0</v>
      </c>
      <c r="D85" s="124">
        <v>0</v>
      </c>
      <c r="E85" s="124">
        <v>0</v>
      </c>
      <c r="F85" s="124">
        <v>0</v>
      </c>
      <c r="G85" s="124">
        <v>0</v>
      </c>
      <c r="H85" s="124">
        <v>0</v>
      </c>
      <c r="I85" s="124">
        <v>0</v>
      </c>
      <c r="J85" s="124">
        <v>0</v>
      </c>
      <c r="K85" s="124">
        <v>0</v>
      </c>
      <c r="L85" s="124">
        <v>0</v>
      </c>
      <c r="M85" s="124">
        <v>0</v>
      </c>
      <c r="N85" s="17"/>
    </row>
    <row r="86" spans="1:15" x14ac:dyDescent="0.2">
      <c r="B86" s="13" t="s">
        <v>176</v>
      </c>
      <c r="C86" s="265">
        <f t="shared" si="12"/>
        <v>0</v>
      </c>
      <c r="D86" s="124">
        <v>0</v>
      </c>
      <c r="E86" s="124">
        <v>0</v>
      </c>
      <c r="F86" s="124">
        <v>0</v>
      </c>
      <c r="G86" s="124">
        <v>0</v>
      </c>
      <c r="H86" s="124">
        <v>0</v>
      </c>
      <c r="I86" s="124">
        <v>0</v>
      </c>
      <c r="J86" s="124">
        <v>0</v>
      </c>
      <c r="K86" s="124">
        <v>0</v>
      </c>
      <c r="L86" s="124">
        <v>0</v>
      </c>
      <c r="M86" s="124">
        <v>0</v>
      </c>
      <c r="N86" s="17"/>
    </row>
    <row r="87" spans="1:15" x14ac:dyDescent="0.2">
      <c r="B87" s="13" t="s">
        <v>177</v>
      </c>
      <c r="C87" s="265">
        <f t="shared" si="12"/>
        <v>0</v>
      </c>
      <c r="D87" s="124">
        <v>0</v>
      </c>
      <c r="E87" s="124">
        <v>0</v>
      </c>
      <c r="F87" s="124">
        <v>0</v>
      </c>
      <c r="G87" s="124">
        <v>0</v>
      </c>
      <c r="H87" s="124">
        <v>0</v>
      </c>
      <c r="I87" s="124">
        <v>0</v>
      </c>
      <c r="J87" s="124">
        <v>0</v>
      </c>
      <c r="K87" s="124">
        <v>0</v>
      </c>
      <c r="L87" s="124">
        <v>0</v>
      </c>
      <c r="M87" s="124">
        <v>0</v>
      </c>
      <c r="N87" s="17"/>
    </row>
    <row r="88" spans="1:15" x14ac:dyDescent="0.2">
      <c r="B88" s="13" t="s">
        <v>178</v>
      </c>
      <c r="C88" s="265">
        <f t="shared" si="12"/>
        <v>0</v>
      </c>
      <c r="D88" s="124">
        <v>0</v>
      </c>
      <c r="E88" s="124">
        <v>0</v>
      </c>
      <c r="F88" s="124">
        <v>0</v>
      </c>
      <c r="G88" s="124">
        <v>0</v>
      </c>
      <c r="H88" s="124">
        <v>0</v>
      </c>
      <c r="I88" s="124">
        <v>0</v>
      </c>
      <c r="J88" s="124">
        <v>0</v>
      </c>
      <c r="K88" s="124">
        <v>0</v>
      </c>
      <c r="L88" s="124">
        <v>0</v>
      </c>
      <c r="M88" s="124">
        <v>0</v>
      </c>
      <c r="N88" s="17"/>
    </row>
    <row r="89" spans="1:15" outlineLevel="2" x14ac:dyDescent="0.2">
      <c r="B89" s="258" t="s">
        <v>78</v>
      </c>
      <c r="C89" s="265">
        <f t="shared" si="12"/>
        <v>0</v>
      </c>
      <c r="D89" s="124">
        <v>0</v>
      </c>
      <c r="E89" s="124">
        <v>0</v>
      </c>
      <c r="F89" s="124">
        <v>0</v>
      </c>
      <c r="G89" s="124">
        <v>0</v>
      </c>
      <c r="H89" s="124">
        <v>0</v>
      </c>
      <c r="I89" s="124">
        <v>0</v>
      </c>
      <c r="J89" s="124">
        <v>0</v>
      </c>
      <c r="K89" s="124">
        <v>0</v>
      </c>
      <c r="L89" s="124">
        <v>0</v>
      </c>
      <c r="M89" s="124">
        <v>0</v>
      </c>
      <c r="N89" s="17"/>
    </row>
    <row r="90" spans="1:15" outlineLevel="2" x14ac:dyDescent="0.2">
      <c r="B90" s="258" t="s">
        <v>78</v>
      </c>
      <c r="C90" s="265">
        <f>SUM(D90:M90)</f>
        <v>0</v>
      </c>
      <c r="D90" s="315">
        <v>0</v>
      </c>
      <c r="E90" s="126">
        <v>0</v>
      </c>
      <c r="F90" s="126">
        <v>0</v>
      </c>
      <c r="G90" s="126">
        <v>0</v>
      </c>
      <c r="H90" s="126">
        <v>0</v>
      </c>
      <c r="I90" s="126">
        <v>0</v>
      </c>
      <c r="J90" s="126">
        <v>0</v>
      </c>
      <c r="K90" s="126">
        <v>0</v>
      </c>
      <c r="L90" s="126">
        <v>0</v>
      </c>
      <c r="M90" s="126">
        <v>0</v>
      </c>
      <c r="N90" s="17"/>
    </row>
    <row r="91" spans="1:15" x14ac:dyDescent="0.2">
      <c r="A91" s="111"/>
      <c r="B91" s="23" t="s">
        <v>179</v>
      </c>
      <c r="C91" s="268">
        <f>SUM(C85:C90)</f>
        <v>0</v>
      </c>
      <c r="D91" s="202">
        <f t="shared" ref="D91:L91" si="13">SUM(D85:D90)</f>
        <v>0</v>
      </c>
      <c r="E91" s="202">
        <f t="shared" si="13"/>
        <v>0</v>
      </c>
      <c r="F91" s="202">
        <f t="shared" si="13"/>
        <v>0</v>
      </c>
      <c r="G91" s="202">
        <f t="shared" si="13"/>
        <v>0</v>
      </c>
      <c r="H91" s="202">
        <f t="shared" si="13"/>
        <v>0</v>
      </c>
      <c r="I91" s="202">
        <f t="shared" si="13"/>
        <v>0</v>
      </c>
      <c r="J91" s="202">
        <f t="shared" si="13"/>
        <v>0</v>
      </c>
      <c r="K91" s="202">
        <f t="shared" si="13"/>
        <v>0</v>
      </c>
      <c r="L91" s="202">
        <f t="shared" si="13"/>
        <v>0</v>
      </c>
      <c r="M91" s="202">
        <f>SUM(M85:M90)</f>
        <v>0</v>
      </c>
      <c r="N91" s="17"/>
    </row>
    <row r="92" spans="1:15" ht="15" thickBot="1" x14ac:dyDescent="0.25">
      <c r="A92" s="111"/>
      <c r="B92" s="27" t="s">
        <v>162</v>
      </c>
      <c r="C92" s="263">
        <f>C91+C83+C75+C66</f>
        <v>0</v>
      </c>
      <c r="D92" s="204">
        <f>D91+D83+D75+D66</f>
        <v>0</v>
      </c>
      <c r="E92" s="204">
        <f t="shared" ref="E92:M92" si="14">E91+E83+E75+E66</f>
        <v>0</v>
      </c>
      <c r="F92" s="204">
        <f t="shared" si="14"/>
        <v>0</v>
      </c>
      <c r="G92" s="204">
        <f t="shared" si="14"/>
        <v>0</v>
      </c>
      <c r="H92" s="204">
        <f t="shared" si="14"/>
        <v>0</v>
      </c>
      <c r="I92" s="204">
        <f t="shared" si="14"/>
        <v>0</v>
      </c>
      <c r="J92" s="204">
        <f t="shared" si="14"/>
        <v>0</v>
      </c>
      <c r="K92" s="204">
        <f t="shared" si="14"/>
        <v>0</v>
      </c>
      <c r="L92" s="204">
        <f t="shared" si="14"/>
        <v>0</v>
      </c>
      <c r="M92" s="204">
        <f t="shared" si="14"/>
        <v>0</v>
      </c>
      <c r="N92" s="17"/>
    </row>
    <row r="93" spans="1:15" ht="15" thickTop="1" x14ac:dyDescent="0.2">
      <c r="A93" s="111"/>
      <c r="B93" s="13" t="s">
        <v>180</v>
      </c>
      <c r="C93" s="264">
        <f t="shared" ref="C93:M93" si="15">C92+C33+C13</f>
        <v>0</v>
      </c>
      <c r="D93" s="206">
        <f t="shared" si="15"/>
        <v>0</v>
      </c>
      <c r="E93" s="206">
        <f t="shared" si="15"/>
        <v>0</v>
      </c>
      <c r="F93" s="206">
        <f t="shared" si="15"/>
        <v>0</v>
      </c>
      <c r="G93" s="206">
        <f t="shared" si="15"/>
        <v>0</v>
      </c>
      <c r="H93" s="206">
        <f t="shared" si="15"/>
        <v>0</v>
      </c>
      <c r="I93" s="206">
        <f t="shared" si="15"/>
        <v>0</v>
      </c>
      <c r="J93" s="206">
        <f t="shared" si="15"/>
        <v>0</v>
      </c>
      <c r="K93" s="206">
        <f t="shared" si="15"/>
        <v>0</v>
      </c>
      <c r="L93" s="206">
        <f t="shared" si="15"/>
        <v>0</v>
      </c>
      <c r="M93" s="206">
        <f t="shared" si="15"/>
        <v>0</v>
      </c>
      <c r="N93" s="17"/>
    </row>
    <row r="94" spans="1:15" x14ac:dyDescent="0.2">
      <c r="N94" s="17"/>
    </row>
    <row r="95" spans="1:15" x14ac:dyDescent="0.2">
      <c r="N95" s="17"/>
      <c r="O95" s="17"/>
    </row>
    <row r="100" spans="2:13" x14ac:dyDescent="0.2">
      <c r="B100" s="17"/>
      <c r="C100" s="17"/>
      <c r="D100" s="17"/>
      <c r="E100" s="17"/>
      <c r="F100" s="17"/>
      <c r="G100" s="17"/>
      <c r="H100" s="17"/>
      <c r="I100" s="17"/>
      <c r="J100" s="17"/>
      <c r="K100" s="17"/>
      <c r="L100" s="17"/>
      <c r="M100" s="17"/>
    </row>
    <row r="168" spans="2:13" x14ac:dyDescent="0.2">
      <c r="B168" s="13"/>
      <c r="C168" s="13"/>
      <c r="D168" s="13"/>
      <c r="E168" s="13"/>
      <c r="F168" s="13"/>
      <c r="G168" s="13"/>
      <c r="H168" s="13"/>
      <c r="I168" s="13"/>
      <c r="J168" s="13"/>
      <c r="K168" s="13"/>
      <c r="L168" s="13"/>
      <c r="M168" s="13"/>
    </row>
    <row r="170" spans="2:13" x14ac:dyDescent="0.2">
      <c r="B170" s="13"/>
      <c r="C170" s="13"/>
      <c r="D170" s="13"/>
      <c r="E170" s="13"/>
      <c r="F170" s="13"/>
      <c r="G170" s="13"/>
      <c r="H170" s="13"/>
      <c r="I170" s="13"/>
      <c r="J170" s="13"/>
      <c r="K170" s="13"/>
      <c r="L170" s="13"/>
      <c r="M170" s="13"/>
    </row>
    <row r="171" spans="2:13" x14ac:dyDescent="0.2">
      <c r="C171" s="13"/>
    </row>
    <row r="172" spans="2:13" x14ac:dyDescent="0.2">
      <c r="C172" s="13"/>
    </row>
    <row r="173" spans="2:13" x14ac:dyDescent="0.2">
      <c r="C173" s="13"/>
    </row>
    <row r="174" spans="2:13" x14ac:dyDescent="0.2">
      <c r="C174" s="13"/>
    </row>
    <row r="175" spans="2:13" x14ac:dyDescent="0.2">
      <c r="C175" s="13"/>
    </row>
    <row r="176" spans="2:13" x14ac:dyDescent="0.2">
      <c r="C176" s="13"/>
    </row>
    <row r="177" spans="3:3" x14ac:dyDescent="0.2">
      <c r="C177" s="13"/>
    </row>
  </sheetData>
  <sheetProtection algorithmName="SHA-512" hashValue="5y4MGS8O7iNRbVuMcM3dbndspsY2zZWP3ZWPfTrUXIgPxR2KQAZwCKw9hJDEMHAnfdjAHT4B98BC+qfkW+B7XQ==" saltValue="WzW0m0K5WWp4E4/VikBMeQ==" spinCount="100000" sheet="1" formatCells="0" formatColumns="0" formatRows="0"/>
  <dataConsolidate/>
  <pageMargins left="0.75" right="0.75" top="1" bottom="1" header="0.5" footer="0.5"/>
  <pageSetup scale="40" orientation="landscape" r:id="rId1"/>
  <headerFooter alignWithMargins="0">
    <oddFooter>&amp;L&amp;F
&amp;D&amp;T&amp;R&amp;"Times New Roman,Regular"&amp;8revision date:  8/6/2007</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pageSetUpPr autoPageBreaks="0" fitToPage="1"/>
  </sheetPr>
  <dimension ref="A1:AT185"/>
  <sheetViews>
    <sheetView topLeftCell="A54" zoomScale="80" zoomScaleNormal="80" zoomScaleSheetLayoutView="90" workbookViewId="0">
      <selection activeCell="F17" sqref="F17"/>
    </sheetView>
  </sheetViews>
  <sheetFormatPr defaultColWidth="19.109375" defaultRowHeight="14.25" outlineLevelRow="1" outlineLevelCol="1" x14ac:dyDescent="0.2"/>
  <cols>
    <col min="1" max="1" width="8" style="12" customWidth="1"/>
    <col min="2" max="2" width="35.33203125" style="12" bestFit="1" customWidth="1"/>
    <col min="3" max="3" width="18.109375" style="12" customWidth="1"/>
    <col min="4" max="5" width="15.5546875" style="12" customWidth="1"/>
    <col min="6" max="6" width="8.5546875" style="12" customWidth="1"/>
    <col min="7" max="7" width="8.5546875" style="619" customWidth="1"/>
    <col min="8" max="8" width="12.33203125" style="12" customWidth="1"/>
    <col min="9" max="9" width="12.5546875" style="12" customWidth="1"/>
    <col min="10" max="13" width="12.33203125" style="12" customWidth="1" outlineLevel="1"/>
    <col min="14" max="19" width="12.5546875" style="12" customWidth="1"/>
    <col min="20" max="20" width="10.88671875" style="12" customWidth="1"/>
    <col min="21" max="21" width="11.6640625" style="12" customWidth="1"/>
    <col min="22" max="31" width="12.44140625" style="12" customWidth="1" outlineLevel="1"/>
    <col min="32" max="32" width="10.88671875" style="12" customWidth="1"/>
    <col min="33" max="34" width="10.77734375" style="12" customWidth="1"/>
    <col min="35" max="35" width="11.44140625" style="12" customWidth="1"/>
    <col min="36" max="36" width="11.109375" style="12" customWidth="1"/>
    <col min="37" max="37" width="12.44140625" style="12" customWidth="1"/>
    <col min="38" max="42" width="12.44140625" style="12" customWidth="1" outlineLevel="1"/>
    <col min="43" max="43" width="11.88671875" style="12" customWidth="1"/>
    <col min="44" max="44" width="13.21875" style="12" customWidth="1"/>
    <col min="45" max="45" width="11.77734375" style="12" customWidth="1"/>
    <col min="46" max="46" width="8" style="12" customWidth="1"/>
    <col min="47" max="47" width="9.77734375" style="12" customWidth="1"/>
    <col min="48" max="16384" width="19.109375" style="12"/>
  </cols>
  <sheetData>
    <row r="1" spans="1:44" ht="15.75" thickBot="1" x14ac:dyDescent="0.3">
      <c r="A1" s="199" t="str">
        <f>assumptions!B2</f>
        <v>enter date</v>
      </c>
      <c r="B1" s="200" t="str">
        <f>assumptions!B1</f>
        <v>enter project name</v>
      </c>
      <c r="C1" s="28"/>
      <c r="D1" s="53"/>
      <c r="E1" s="53"/>
      <c r="F1" s="53"/>
      <c r="G1" s="616"/>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9"/>
    </row>
    <row r="2" spans="1:44" ht="15" thickTop="1" x14ac:dyDescent="0.2">
      <c r="B2" s="23" t="s">
        <v>181</v>
      </c>
      <c r="C2" s="198" t="e">
        <f>D2+E2</f>
        <v>#DIV/0!</v>
      </c>
      <c r="D2" s="198" t="e">
        <f>rents!R103/(rents!R103+rents!R104)</f>
        <v>#DIV/0!</v>
      </c>
      <c r="E2" s="198" t="e">
        <f>rents!R104/(rents!R103+rents!R104)</f>
        <v>#DIV/0!</v>
      </c>
      <c r="F2" s="17"/>
      <c r="G2" s="617"/>
      <c r="H2" s="12" t="s">
        <v>182</v>
      </c>
      <c r="U2" s="271" t="s">
        <v>183</v>
      </c>
      <c r="AK2" s="271"/>
    </row>
    <row r="3" spans="1:44" s="22" customFormat="1" ht="42.75" x14ac:dyDescent="0.2">
      <c r="C3" s="235" t="s">
        <v>116</v>
      </c>
      <c r="D3" s="235" t="s">
        <v>184</v>
      </c>
      <c r="E3" s="235" t="s">
        <v>185</v>
      </c>
      <c r="F3" s="235" t="s">
        <v>186</v>
      </c>
      <c r="G3" s="618" t="s">
        <v>187</v>
      </c>
      <c r="H3" s="207" t="str">
        <f>assumptions!$A21</f>
        <v>Other Permanent Debt</v>
      </c>
      <c r="I3" s="207" t="str">
        <f>assumptions!$A22</f>
        <v>Housing Investments for Vermont (HIVE)</v>
      </c>
      <c r="J3" s="502" t="str">
        <f>assumptions!$A23</f>
        <v>[Additional Field - Specify] (Amortizing)</v>
      </c>
      <c r="K3" s="502" t="str">
        <f>assumptions!$A24</f>
        <v>[Additional Field - Specify] (Amortizing)</v>
      </c>
      <c r="L3" s="502" t="str">
        <f>assumptions!$A25</f>
        <v>[Additional Field - Specify] (Amortizing)</v>
      </c>
      <c r="M3" s="502" t="str">
        <f>assumptions!$A26</f>
        <v>[Additional Field - Specify] (Amortizing)</v>
      </c>
      <c r="N3" s="207" t="str">
        <f>assumptions!$A27</f>
        <v>AHP</v>
      </c>
      <c r="O3" s="207" t="str">
        <f>assumptions!$A28</f>
        <v>HOME</v>
      </c>
      <c r="P3" s="207" t="str">
        <f>assumptions!$A29</f>
        <v>NHTF</v>
      </c>
      <c r="Q3" s="207" t="str">
        <f>assumptions!$A30</f>
        <v>VCDP</v>
      </c>
      <c r="R3" s="207" t="str">
        <f>assumptions!$A31</f>
        <v>VHCB</v>
      </c>
      <c r="S3" s="207" t="str">
        <f>assumptions!$A32</f>
        <v>VHCB Feasibility</v>
      </c>
      <c r="T3" s="207" t="str">
        <f>assumptions!$A33</f>
        <v>Energy Incentives</v>
      </c>
      <c r="U3" s="207" t="str">
        <f>assumptions!$A34</f>
        <v>Deferred Developer Fee</v>
      </c>
      <c r="V3" s="502" t="str">
        <f>assumptions!$A35</f>
        <v>[Additional Field - Specify] (Non-Amortizing)</v>
      </c>
      <c r="W3" s="502" t="str">
        <f>assumptions!$A36</f>
        <v>[Additional Field - Specify] (Non-Amortizing)</v>
      </c>
      <c r="X3" s="502" t="str">
        <f>assumptions!$A37</f>
        <v>[Additional Field - Specify] (Non-Amortizing)</v>
      </c>
      <c r="Y3" s="502" t="str">
        <f>assumptions!$A38</f>
        <v>[Additional Field - Specify] (Non-Amortizing)</v>
      </c>
      <c r="Z3" s="502" t="str">
        <f>assumptions!$A39</f>
        <v>[Additional Field - Specify] (Non-Amortizing)</v>
      </c>
      <c r="AA3" s="502" t="str">
        <f>assumptions!$A40</f>
        <v>[Additional Field - Specify] (Non-Amortizing)</v>
      </c>
      <c r="AB3" s="502" t="str">
        <f>assumptions!$A41</f>
        <v>[Additional Field - Specify] (Non-Amortizing)</v>
      </c>
      <c r="AC3" s="502" t="str">
        <f>assumptions!$A42</f>
        <v>[Additional Field - Specify] (Non-Amortizing)</v>
      </c>
      <c r="AD3" s="502" t="str">
        <f>assumptions!$A43</f>
        <v>[Additional Field - Specify] (Non-Amortizing)</v>
      </c>
      <c r="AE3" s="502" t="str">
        <f>assumptions!$A44</f>
        <v>[Additional Field - Specify] (Non-Amortizing)</v>
      </c>
      <c r="AF3" s="207" t="str">
        <f>assumptions!$A45</f>
        <v>General Partner Equity</v>
      </c>
      <c r="AG3" s="207" t="str">
        <f>assumptions!$A46</f>
        <v>Existing Cash Accounts</v>
      </c>
      <c r="AH3" s="207" t="str">
        <f>assumptions!$A47</f>
        <v>Investment Tax Credit</v>
      </c>
      <c r="AI3" s="207" t="str">
        <f>assumptions!$A48</f>
        <v>Historic Credit Equity</v>
      </c>
      <c r="AJ3" s="207" t="str">
        <f>assumptions!$A49</f>
        <v>VHFA - Federal Tax Credit Equity</v>
      </c>
      <c r="AK3" s="207" t="str">
        <f>assumptions!$A50</f>
        <v>VHFA - VT State Tax Credit Equity</v>
      </c>
      <c r="AL3" s="502" t="str">
        <f>assumptions!$A51</f>
        <v>[Additional Field - Specify]</v>
      </c>
      <c r="AM3" s="502" t="str">
        <f>assumptions!$A52</f>
        <v>[Additional Field - Specify]</v>
      </c>
      <c r="AN3" s="502" t="str">
        <f>assumptions!$A53</f>
        <v>[Additional Field - Specify]</v>
      </c>
      <c r="AO3" s="502" t="str">
        <f>assumptions!$A54</f>
        <v>[Additional Field - Specify]</v>
      </c>
      <c r="AP3" s="502" t="str">
        <f>assumptions!$A55</f>
        <v>[Additional Field - Specify]</v>
      </c>
      <c r="AQ3" s="207"/>
    </row>
    <row r="4" spans="1:44" ht="29.25" x14ac:dyDescent="0.25">
      <c r="B4" s="25" t="s">
        <v>117</v>
      </c>
      <c r="H4" s="209">
        <f>assumptions!$B21</f>
        <v>0</v>
      </c>
      <c r="I4" s="209">
        <f>assumptions!$B22</f>
        <v>0</v>
      </c>
      <c r="J4" s="209">
        <f>assumptions!$B23</f>
        <v>0</v>
      </c>
      <c r="K4" s="209">
        <f>assumptions!$B24</f>
        <v>0</v>
      </c>
      <c r="L4" s="209">
        <f>assumptions!$B25</f>
        <v>0</v>
      </c>
      <c r="M4" s="209">
        <f>assumptions!$B26</f>
        <v>0</v>
      </c>
      <c r="N4" s="209">
        <f>assumptions!$B27</f>
        <v>0</v>
      </c>
      <c r="O4" s="209">
        <f>assumptions!$B28</f>
        <v>0</v>
      </c>
      <c r="P4" s="209">
        <f>assumptions!$B29</f>
        <v>0</v>
      </c>
      <c r="Q4" s="209">
        <f>assumptions!$B30</f>
        <v>0</v>
      </c>
      <c r="R4" s="209">
        <f>assumptions!$B31</f>
        <v>0</v>
      </c>
      <c r="S4" s="209">
        <f>assumptions!$B32</f>
        <v>0</v>
      </c>
      <c r="T4" s="209">
        <f>assumptions!$B33</f>
        <v>0</v>
      </c>
      <c r="U4" s="209">
        <f>assumptions!$B34</f>
        <v>0</v>
      </c>
      <c r="V4" s="209">
        <f>assumptions!$B35</f>
        <v>0</v>
      </c>
      <c r="W4" s="209">
        <f>assumptions!$B36</f>
        <v>0</v>
      </c>
      <c r="X4" s="209">
        <f>assumptions!$B37</f>
        <v>0</v>
      </c>
      <c r="Y4" s="209">
        <f>assumptions!$B38</f>
        <v>0</v>
      </c>
      <c r="Z4" s="209">
        <f>assumptions!$B39</f>
        <v>0</v>
      </c>
      <c r="AA4" s="209">
        <f>assumptions!$B40</f>
        <v>0</v>
      </c>
      <c r="AB4" s="209">
        <f>assumptions!$B41</f>
        <v>0</v>
      </c>
      <c r="AC4" s="209">
        <f>assumptions!$B42</f>
        <v>0</v>
      </c>
      <c r="AD4" s="209">
        <f>assumptions!$B43</f>
        <v>0</v>
      </c>
      <c r="AE4" s="209">
        <f>assumptions!$B44</f>
        <v>0</v>
      </c>
      <c r="AF4" s="209">
        <f>assumptions!$B45</f>
        <v>0</v>
      </c>
      <c r="AG4" s="209">
        <f>assumptions!$B46</f>
        <v>0</v>
      </c>
      <c r="AH4" s="208">
        <f>assumptions!$B47</f>
        <v>0</v>
      </c>
      <c r="AI4" s="209">
        <f>assumptions!$B48</f>
        <v>0</v>
      </c>
      <c r="AJ4" s="209">
        <f>assumptions!$B49</f>
        <v>0</v>
      </c>
      <c r="AK4" s="209">
        <f>assumptions!$B50</f>
        <v>0</v>
      </c>
      <c r="AL4" s="209">
        <f>assumptions!$B51</f>
        <v>0</v>
      </c>
      <c r="AM4" s="209">
        <f>assumptions!$B52</f>
        <v>0</v>
      </c>
      <c r="AN4" s="209">
        <f>assumptions!$B53</f>
        <v>0</v>
      </c>
      <c r="AO4" s="209">
        <f>assumptions!$B54</f>
        <v>0</v>
      </c>
      <c r="AP4" s="209">
        <f>assumptions!$B55</f>
        <v>0</v>
      </c>
      <c r="AQ4" s="22" t="s">
        <v>79</v>
      </c>
    </row>
    <row r="5" spans="1:44" x14ac:dyDescent="0.2">
      <c r="B5" s="2" t="str">
        <f>'project budget'!B5</f>
        <v>Land</v>
      </c>
      <c r="C5" s="269">
        <f>'project budget'!C5</f>
        <v>0</v>
      </c>
      <c r="D5" s="192" t="e">
        <f>C5*$D$2</f>
        <v>#DIV/0!</v>
      </c>
      <c r="E5" s="193" t="e">
        <f>C5*$E$2</f>
        <v>#DIV/0!</v>
      </c>
      <c r="F5" s="193" t="e">
        <f>D5/'rent summary'!$D$25</f>
        <v>#DIV/0!</v>
      </c>
      <c r="G5" s="620" t="e">
        <f>C5/rents!$R$105</f>
        <v>#DIV/0!</v>
      </c>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93">
        <f t="shared" ref="AQ5:AQ10" si="0">SUM(H5:AP5)</f>
        <v>0</v>
      </c>
      <c r="AR5" s="193">
        <f t="shared" ref="AR5:AR10" si="1">AQ5-C5</f>
        <v>0</v>
      </c>
    </row>
    <row r="6" spans="1:44" x14ac:dyDescent="0.2">
      <c r="B6" s="2" t="str">
        <f>'project budget'!B6</f>
        <v>Purchase of Building</v>
      </c>
      <c r="C6" s="269">
        <f>'project budget'!C6</f>
        <v>0</v>
      </c>
      <c r="D6" s="193" t="e">
        <f t="shared" ref="D6:D10" si="2">C6*$D$2</f>
        <v>#DIV/0!</v>
      </c>
      <c r="E6" s="193" t="e">
        <f t="shared" ref="E6:E10" si="3">C6*$E$2</f>
        <v>#DIV/0!</v>
      </c>
      <c r="F6" s="193" t="e">
        <f>D6/'rent summary'!$D$25</f>
        <v>#DIV/0!</v>
      </c>
      <c r="G6" s="620" t="e">
        <f>C6/rents!$R$105</f>
        <v>#DIV/0!</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93">
        <f t="shared" si="0"/>
        <v>0</v>
      </c>
      <c r="AR6" s="193">
        <f t="shared" si="1"/>
        <v>0</v>
      </c>
    </row>
    <row r="7" spans="1:44" x14ac:dyDescent="0.2">
      <c r="B7" s="2" t="str">
        <f>'project budget'!B7</f>
        <v>Demolition (without replacement)</v>
      </c>
      <c r="C7" s="269">
        <f>'project budget'!C7</f>
        <v>0</v>
      </c>
      <c r="D7" s="193" t="e">
        <f t="shared" si="2"/>
        <v>#DIV/0!</v>
      </c>
      <c r="E7" s="193" t="e">
        <f>C7*$E$2</f>
        <v>#DIV/0!</v>
      </c>
      <c r="F7" s="193" t="e">
        <f>D7/'rent summary'!$D$25</f>
        <v>#DIV/0!</v>
      </c>
      <c r="G7" s="620" t="e">
        <f>C7/rents!$R$105</f>
        <v>#DIV/0!</v>
      </c>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93">
        <f t="shared" si="0"/>
        <v>0</v>
      </c>
      <c r="AR7" s="193">
        <f t="shared" si="1"/>
        <v>0</v>
      </c>
    </row>
    <row r="8" spans="1:44" x14ac:dyDescent="0.2">
      <c r="B8" s="2" t="str">
        <f>'project budget'!B8</f>
        <v>Appraisal</v>
      </c>
      <c r="C8" s="269">
        <f>'project budget'!C8</f>
        <v>0</v>
      </c>
      <c r="D8" s="193" t="e">
        <f t="shared" si="2"/>
        <v>#DIV/0!</v>
      </c>
      <c r="E8" s="193" t="e">
        <f t="shared" si="3"/>
        <v>#DIV/0!</v>
      </c>
      <c r="F8" s="193" t="e">
        <f>D8/'rent summary'!$D$25</f>
        <v>#DIV/0!</v>
      </c>
      <c r="G8" s="620" t="e">
        <f>C8/rents!$R$105</f>
        <v>#DIV/0!</v>
      </c>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93">
        <f t="shared" si="0"/>
        <v>0</v>
      </c>
      <c r="AR8" s="193">
        <f t="shared" si="1"/>
        <v>0</v>
      </c>
    </row>
    <row r="9" spans="1:44" x14ac:dyDescent="0.2">
      <c r="B9" s="2" t="str">
        <f>'project budget'!B9</f>
        <v>Legal - Title and Recording</v>
      </c>
      <c r="C9" s="269">
        <f>'project budget'!C9</f>
        <v>0</v>
      </c>
      <c r="D9" s="193" t="e">
        <f t="shared" si="2"/>
        <v>#DIV/0!</v>
      </c>
      <c r="E9" s="193" t="e">
        <f t="shared" si="3"/>
        <v>#DIV/0!</v>
      </c>
      <c r="F9" s="255" t="e">
        <f>D9/'rent summary'!$D$25</f>
        <v>#DIV/0!</v>
      </c>
      <c r="G9" s="620" t="e">
        <f>C9/rents!$R$105</f>
        <v>#DIV/0!</v>
      </c>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93">
        <f t="shared" si="0"/>
        <v>0</v>
      </c>
      <c r="AR9" s="193">
        <f t="shared" si="1"/>
        <v>0</v>
      </c>
    </row>
    <row r="10" spans="1:44" outlineLevel="1" x14ac:dyDescent="0.2">
      <c r="B10" s="316" t="str">
        <f>'project budget'!B10</f>
        <v>[Additional Field - Specify]</v>
      </c>
      <c r="C10" s="269">
        <f>'project budget'!C10</f>
        <v>0</v>
      </c>
      <c r="D10" s="193" t="e">
        <f t="shared" si="2"/>
        <v>#DIV/0!</v>
      </c>
      <c r="E10" s="193" t="e">
        <f t="shared" si="3"/>
        <v>#DIV/0!</v>
      </c>
      <c r="F10" s="255" t="e">
        <f>D10/'rent summary'!$D$25</f>
        <v>#DIV/0!</v>
      </c>
      <c r="G10" s="620" t="e">
        <f>C10/rents!$R$105</f>
        <v>#DIV/0!</v>
      </c>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93">
        <f t="shared" si="0"/>
        <v>0</v>
      </c>
      <c r="AR10" s="193">
        <f t="shared" si="1"/>
        <v>0</v>
      </c>
    </row>
    <row r="11" spans="1:44" outlineLevel="1" x14ac:dyDescent="0.2">
      <c r="B11" s="316" t="str">
        <f>'project budget'!B11</f>
        <v>[Additional Field - Specify]</v>
      </c>
      <c r="C11" s="269">
        <f>'project budget'!C11</f>
        <v>0</v>
      </c>
      <c r="D11" s="193" t="e">
        <f t="shared" ref="D11" si="4">C11*$D$2</f>
        <v>#DIV/0!</v>
      </c>
      <c r="E11" s="193" t="e">
        <f t="shared" ref="E11:E12" si="5">C11*$E$2</f>
        <v>#DIV/0!</v>
      </c>
      <c r="F11" s="255" t="e">
        <f>D11/'rent summary'!$D$25</f>
        <v>#DIV/0!</v>
      </c>
      <c r="G11" s="620" t="e">
        <f>C11/rents!$R$105</f>
        <v>#DIV/0!</v>
      </c>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93">
        <f t="shared" ref="AQ11" si="6">SUM(H11:AP11)</f>
        <v>0</v>
      </c>
      <c r="AR11" s="193">
        <f t="shared" ref="AR11:AR12" si="7">AQ11-C11</f>
        <v>0</v>
      </c>
    </row>
    <row r="12" spans="1:44" outlineLevel="1" x14ac:dyDescent="0.2">
      <c r="B12" s="316" t="str">
        <f>'project budget'!B12</f>
        <v>[Additional Field - Specify]</v>
      </c>
      <c r="C12" s="319">
        <f>'project budget'!C12</f>
        <v>0</v>
      </c>
      <c r="D12" s="338" t="e">
        <f>C12*$D$2</f>
        <v>#DIV/0!</v>
      </c>
      <c r="E12" s="255" t="e">
        <f t="shared" si="5"/>
        <v>#DIV/0!</v>
      </c>
      <c r="F12" s="255" t="e">
        <f>D12/'rent summary'!$D$25</f>
        <v>#DIV/0!</v>
      </c>
      <c r="G12" s="621" t="e">
        <f>C12/rents!$R$105</f>
        <v>#DIV/0!</v>
      </c>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93">
        <f>SUM(H12:AP12)</f>
        <v>0</v>
      </c>
      <c r="AR12" s="193">
        <f t="shared" si="7"/>
        <v>0</v>
      </c>
    </row>
    <row r="13" spans="1:44" x14ac:dyDescent="0.2">
      <c r="A13" s="111"/>
      <c r="B13" s="318" t="s">
        <v>123</v>
      </c>
      <c r="C13" s="194">
        <f>SUM(C5:C12)</f>
        <v>0</v>
      </c>
      <c r="D13" s="194" t="e">
        <f>SUM(D5:D12)</f>
        <v>#DIV/0!</v>
      </c>
      <c r="E13" s="194" t="e">
        <f>SUM(E5:E9)</f>
        <v>#DIV/0!</v>
      </c>
      <c r="F13" s="253" t="e">
        <f>D13/'rent summary'!$D$25</f>
        <v>#DIV/0!</v>
      </c>
      <c r="G13" s="622" t="e">
        <f>SUM(G5:G9)</f>
        <v>#DIV/0!</v>
      </c>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row>
    <row r="14" spans="1:44" ht="15" x14ac:dyDescent="0.25">
      <c r="B14" s="25" t="s">
        <v>124</v>
      </c>
      <c r="C14" s="1"/>
      <c r="D14" s="1"/>
      <c r="E14" s="1"/>
      <c r="F14" s="1"/>
      <c r="G14" s="623"/>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4"/>
      <c r="AR14" s="14"/>
    </row>
    <row r="15" spans="1:44" ht="15.75" x14ac:dyDescent="0.25">
      <c r="B15" s="2" t="str">
        <f>'project budget'!B15</f>
        <v>Construction - Residential</v>
      </c>
      <c r="C15" s="269">
        <f>'project budget'!C15</f>
        <v>0</v>
      </c>
      <c r="D15" s="192" t="e">
        <f>C15*$D$2</f>
        <v>#DIV/0!</v>
      </c>
      <c r="E15" s="195"/>
      <c r="F15" s="193" t="e">
        <f>D15/'rent summary'!$D$25</f>
        <v>#DIV/0!</v>
      </c>
      <c r="G15" s="620" t="e">
        <f>C15/rents!$R$105</f>
        <v>#DIV/0!</v>
      </c>
      <c r="H15" s="124"/>
      <c r="I15" s="124"/>
      <c r="J15" s="124"/>
      <c r="K15" s="124"/>
      <c r="L15" s="124"/>
      <c r="M15" s="124"/>
      <c r="N15" s="124"/>
      <c r="O15" s="125"/>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93">
        <f>SUM(H15:AP15)</f>
        <v>0</v>
      </c>
      <c r="AR15" s="193">
        <f>AQ15-C15</f>
        <v>0</v>
      </c>
    </row>
    <row r="16" spans="1:44" x14ac:dyDescent="0.2">
      <c r="B16" s="2" t="str">
        <f>'project budget'!B16</f>
        <v>Construction - Commercial</v>
      </c>
      <c r="C16" s="269">
        <f>'project budget'!C16</f>
        <v>0</v>
      </c>
      <c r="D16" s="195"/>
      <c r="E16" s="193">
        <f>C16</f>
        <v>0</v>
      </c>
      <c r="F16" s="193" t="e">
        <f>D16/'rent summary'!$D$25</f>
        <v>#DIV/0!</v>
      </c>
      <c r="G16" s="620" t="e">
        <f>C16/rents!$R$105</f>
        <v>#DIV/0!</v>
      </c>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93">
        <f t="shared" ref="AQ16:AQ32" si="8">SUM(H16:AP16)</f>
        <v>0</v>
      </c>
      <c r="AR16" s="193">
        <f t="shared" ref="AR16:AR32" si="9">AQ16-C16</f>
        <v>0</v>
      </c>
    </row>
    <row r="17" spans="1:44" x14ac:dyDescent="0.2">
      <c r="B17" s="2" t="str">
        <f>'project budget'!B17</f>
        <v>Site Work</v>
      </c>
      <c r="C17" s="269">
        <f>'project budget'!C17</f>
        <v>0</v>
      </c>
      <c r="D17" s="192" t="e">
        <f>C17*$D$2</f>
        <v>#DIV/0!</v>
      </c>
      <c r="E17" s="193" t="e">
        <f t="shared" ref="E17:E32" si="10">C17*$E$2</f>
        <v>#DIV/0!</v>
      </c>
      <c r="F17" s="192" t="e">
        <f>D17/'rent summary'!$D$25</f>
        <v>#DIV/0!</v>
      </c>
      <c r="G17" s="620" t="e">
        <f>C17/rents!$R$105</f>
        <v>#DIV/0!</v>
      </c>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93">
        <f t="shared" si="8"/>
        <v>0</v>
      </c>
      <c r="AR17" s="193">
        <f t="shared" si="9"/>
        <v>0</v>
      </c>
    </row>
    <row r="18" spans="1:44" x14ac:dyDescent="0.2">
      <c r="B18" s="2" t="str">
        <f>'project budget'!B18</f>
        <v>Demolition - Construction</v>
      </c>
      <c r="C18" s="269">
        <f>'project budget'!C18</f>
        <v>0</v>
      </c>
      <c r="D18" s="193" t="e">
        <f t="shared" ref="D18:D32" si="11">C18*$D$2</f>
        <v>#DIV/0!</v>
      </c>
      <c r="E18" s="192" t="e">
        <f>C18*$E$2</f>
        <v>#DIV/0!</v>
      </c>
      <c r="F18" s="193" t="e">
        <f>D18/'rent summary'!$D$25</f>
        <v>#DIV/0!</v>
      </c>
      <c r="G18" s="620" t="e">
        <f>C18/rents!$R$105</f>
        <v>#DIV/0!</v>
      </c>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93">
        <f t="shared" si="8"/>
        <v>0</v>
      </c>
      <c r="AR18" s="193">
        <f t="shared" si="9"/>
        <v>0</v>
      </c>
    </row>
    <row r="19" spans="1:44" x14ac:dyDescent="0.2">
      <c r="B19" s="2" t="str">
        <f>'project budget'!B19</f>
        <v>Commercial Fit Up</v>
      </c>
      <c r="C19" s="269">
        <f>'project budget'!C19</f>
        <v>0</v>
      </c>
      <c r="D19" s="195"/>
      <c r="E19" s="193">
        <f>C19</f>
        <v>0</v>
      </c>
      <c r="F19" s="193" t="e">
        <f>D19/'rent summary'!$D$25</f>
        <v>#DIV/0!</v>
      </c>
      <c r="G19" s="620" t="e">
        <f>C19/rents!$R$105</f>
        <v>#DIV/0!</v>
      </c>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93">
        <f t="shared" si="8"/>
        <v>0</v>
      </c>
      <c r="AR19" s="193">
        <f t="shared" si="9"/>
        <v>0</v>
      </c>
    </row>
    <row r="20" spans="1:44" x14ac:dyDescent="0.2">
      <c r="A20" s="89" t="str">
        <f>IF(ISERR(C20/$C$33),"N/A",C20/$C$33)</f>
        <v>N/A</v>
      </c>
      <c r="B20" s="2" t="str">
        <f>'project budget'!B20</f>
        <v>Contractor Overhead</v>
      </c>
      <c r="C20" s="269">
        <f>'project budget'!C20</f>
        <v>0</v>
      </c>
      <c r="D20" s="193" t="e">
        <f t="shared" si="11"/>
        <v>#DIV/0!</v>
      </c>
      <c r="E20" s="193" t="e">
        <f t="shared" si="10"/>
        <v>#DIV/0!</v>
      </c>
      <c r="F20" s="193" t="e">
        <f>D20/'rent summary'!$D$25</f>
        <v>#DIV/0!</v>
      </c>
      <c r="G20" s="620" t="e">
        <f>C20/rents!$R$105</f>
        <v>#DIV/0!</v>
      </c>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93">
        <f t="shared" si="8"/>
        <v>0</v>
      </c>
      <c r="AR20" s="193">
        <f t="shared" si="9"/>
        <v>0</v>
      </c>
    </row>
    <row r="21" spans="1:44" x14ac:dyDescent="0.2">
      <c r="A21" s="89" t="str">
        <f t="shared" ref="A21" si="12">IF(ISERR(C21/$C$33),"N/A",C21/$C$33)</f>
        <v>N/A</v>
      </c>
      <c r="B21" s="2" t="str">
        <f>'project budget'!B21</f>
        <v>Contractor Profit</v>
      </c>
      <c r="C21" s="269">
        <f>'project budget'!C21</f>
        <v>0</v>
      </c>
      <c r="D21" s="193" t="e">
        <f t="shared" si="11"/>
        <v>#DIV/0!</v>
      </c>
      <c r="E21" s="193" t="e">
        <f t="shared" si="10"/>
        <v>#DIV/0!</v>
      </c>
      <c r="F21" s="193" t="e">
        <f>D21/'rent summary'!$D$25</f>
        <v>#DIV/0!</v>
      </c>
      <c r="G21" s="620" t="e">
        <f>C21/rents!$R$105</f>
        <v>#DIV/0!</v>
      </c>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93">
        <f t="shared" si="8"/>
        <v>0</v>
      </c>
      <c r="AR21" s="193">
        <f t="shared" si="9"/>
        <v>0</v>
      </c>
    </row>
    <row r="22" spans="1:44" x14ac:dyDescent="0.2">
      <c r="A22" s="89" t="str">
        <f>IF(ISERR(C22/$C$33),"N/A",C22/$C$33)</f>
        <v>N/A</v>
      </c>
      <c r="B22" s="2" t="str">
        <f>'project budget'!B22</f>
        <v>Contractor General Requirements</v>
      </c>
      <c r="C22" s="269">
        <f>'project budget'!C22</f>
        <v>0</v>
      </c>
      <c r="D22" s="193" t="e">
        <f t="shared" ref="D22" si="13">C22*$D$2</f>
        <v>#DIV/0!</v>
      </c>
      <c r="E22" s="193" t="e">
        <f t="shared" ref="E22" si="14">C22*$E$2</f>
        <v>#DIV/0!</v>
      </c>
      <c r="F22" s="193" t="e">
        <f>D22/'rent summary'!$D$25</f>
        <v>#DIV/0!</v>
      </c>
      <c r="G22" s="620" t="e">
        <f>C22/rents!$R$105</f>
        <v>#DIV/0!</v>
      </c>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93">
        <f t="shared" si="8"/>
        <v>0</v>
      </c>
      <c r="AR22" s="193">
        <f t="shared" si="9"/>
        <v>0</v>
      </c>
    </row>
    <row r="23" spans="1:44" x14ac:dyDescent="0.2">
      <c r="A23" s="89" t="str">
        <f>IF(ISERR(C23/$C$33),"N/A",C23/$C$33)</f>
        <v>N/A</v>
      </c>
      <c r="B23" s="2" t="str">
        <f>'project budget'!B23</f>
        <v>Construction Contingency</v>
      </c>
      <c r="C23" s="269">
        <f>'project budget'!C23</f>
        <v>0</v>
      </c>
      <c r="D23" s="193" t="e">
        <f t="shared" si="11"/>
        <v>#DIV/0!</v>
      </c>
      <c r="E23" s="193" t="e">
        <f t="shared" si="10"/>
        <v>#DIV/0!</v>
      </c>
      <c r="F23" s="193" t="e">
        <f>D23/'rent summary'!$D$25</f>
        <v>#DIV/0!</v>
      </c>
      <c r="G23" s="620" t="e">
        <f>C23/rents!$R$105</f>
        <v>#DIV/0!</v>
      </c>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93">
        <f t="shared" si="8"/>
        <v>0</v>
      </c>
      <c r="AR23" s="193">
        <f t="shared" si="9"/>
        <v>0</v>
      </c>
    </row>
    <row r="24" spans="1:44" x14ac:dyDescent="0.2">
      <c r="B24" s="2" t="str">
        <f>'project budget'!B24</f>
        <v>Construction Bond Fee</v>
      </c>
      <c r="C24" s="269">
        <f>'project budget'!C24</f>
        <v>0</v>
      </c>
      <c r="D24" s="193" t="e">
        <f t="shared" si="11"/>
        <v>#DIV/0!</v>
      </c>
      <c r="E24" s="193" t="e">
        <f t="shared" si="10"/>
        <v>#DIV/0!</v>
      </c>
      <c r="F24" s="193" t="e">
        <f>D24/'rent summary'!$D$25</f>
        <v>#DIV/0!</v>
      </c>
      <c r="G24" s="620" t="e">
        <f>C24/rents!$R$105</f>
        <v>#DIV/0!</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93">
        <f t="shared" si="8"/>
        <v>0</v>
      </c>
      <c r="AR24" s="193">
        <f t="shared" si="9"/>
        <v>0</v>
      </c>
    </row>
    <row r="25" spans="1:44" x14ac:dyDescent="0.2">
      <c r="B25" s="2" t="str">
        <f>'project budget'!B25</f>
        <v>Hazardous Materials Abatement</v>
      </c>
      <c r="C25" s="269">
        <f>'project budget'!C25</f>
        <v>0</v>
      </c>
      <c r="D25" s="193" t="e">
        <f t="shared" si="11"/>
        <v>#DIV/0!</v>
      </c>
      <c r="E25" s="193" t="e">
        <f t="shared" si="10"/>
        <v>#DIV/0!</v>
      </c>
      <c r="F25" s="193" t="e">
        <f>D25/'rent summary'!$D$25</f>
        <v>#DIV/0!</v>
      </c>
      <c r="G25" s="620" t="e">
        <f>C25/rents!$R$105</f>
        <v>#DIV/0!</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93">
        <f t="shared" si="8"/>
        <v>0</v>
      </c>
      <c r="AR25" s="193">
        <f t="shared" si="9"/>
        <v>0</v>
      </c>
    </row>
    <row r="26" spans="1:44" x14ac:dyDescent="0.2">
      <c r="B26" s="2" t="str">
        <f>'project budget'!B26</f>
        <v>Off-Site Improvements</v>
      </c>
      <c r="C26" s="269">
        <f>'project budget'!C26</f>
        <v>0</v>
      </c>
      <c r="D26" s="193" t="e">
        <f t="shared" si="11"/>
        <v>#DIV/0!</v>
      </c>
      <c r="E26" s="193" t="e">
        <f t="shared" si="10"/>
        <v>#DIV/0!</v>
      </c>
      <c r="F26" s="193" t="e">
        <f>D26/'rent summary'!$D$25</f>
        <v>#DIV/0!</v>
      </c>
      <c r="G26" s="620" t="e">
        <f>C26/rents!$R$105</f>
        <v>#DIV/0!</v>
      </c>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93">
        <f t="shared" si="8"/>
        <v>0</v>
      </c>
      <c r="AR26" s="193">
        <f t="shared" si="9"/>
        <v>0</v>
      </c>
    </row>
    <row r="27" spans="1:44" x14ac:dyDescent="0.2">
      <c r="B27" s="2" t="str">
        <f>'project budget'!B27</f>
        <v>Furnishings, Fixtures, &amp; Equipment</v>
      </c>
      <c r="C27" s="319">
        <f>'project budget'!C27</f>
        <v>0</v>
      </c>
      <c r="D27" s="255" t="e">
        <f t="shared" si="11"/>
        <v>#DIV/0!</v>
      </c>
      <c r="E27" s="255" t="e">
        <f t="shared" si="10"/>
        <v>#DIV/0!</v>
      </c>
      <c r="F27" s="255" t="e">
        <f>D27/'rent summary'!$D$25</f>
        <v>#DIV/0!</v>
      </c>
      <c r="G27" s="621" t="e">
        <f>C27/rents!$R$105</f>
        <v>#DIV/0!</v>
      </c>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93">
        <f t="shared" si="8"/>
        <v>0</v>
      </c>
      <c r="AR27" s="193">
        <f t="shared" si="9"/>
        <v>0</v>
      </c>
    </row>
    <row r="28" spans="1:44" outlineLevel="1" x14ac:dyDescent="0.2">
      <c r="B28" s="316" t="str">
        <f>'project budget'!B28</f>
        <v>[Additional Field - Specify]</v>
      </c>
      <c r="C28" s="269">
        <f>'project budget'!C28</f>
        <v>0</v>
      </c>
      <c r="D28" s="193" t="e">
        <f t="shared" si="11"/>
        <v>#DIV/0!</v>
      </c>
      <c r="E28" s="193" t="e">
        <f t="shared" si="10"/>
        <v>#DIV/0!</v>
      </c>
      <c r="F28" s="255" t="e">
        <f>D28/'rent summary'!$D$25</f>
        <v>#DIV/0!</v>
      </c>
      <c r="G28" s="620" t="e">
        <f>C28/rents!$R$105</f>
        <v>#DIV/0!</v>
      </c>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93">
        <f t="shared" si="8"/>
        <v>0</v>
      </c>
      <c r="AR28" s="193">
        <f t="shared" si="9"/>
        <v>0</v>
      </c>
    </row>
    <row r="29" spans="1:44" outlineLevel="1" x14ac:dyDescent="0.2">
      <c r="B29" s="316" t="str">
        <f>'project budget'!B29</f>
        <v>[Additional Field - Specify]</v>
      </c>
      <c r="C29" s="269">
        <f>'project budget'!C29</f>
        <v>0</v>
      </c>
      <c r="D29" s="193" t="e">
        <f t="shared" si="11"/>
        <v>#DIV/0!</v>
      </c>
      <c r="E29" s="193" t="e">
        <f t="shared" si="10"/>
        <v>#DIV/0!</v>
      </c>
      <c r="F29" s="255" t="e">
        <f>D29/'rent summary'!$D$25</f>
        <v>#DIV/0!</v>
      </c>
      <c r="G29" s="620" t="e">
        <f>C29/rents!$R$105</f>
        <v>#DIV/0!</v>
      </c>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93">
        <f t="shared" si="8"/>
        <v>0</v>
      </c>
      <c r="AR29" s="193">
        <f t="shared" si="9"/>
        <v>0</v>
      </c>
    </row>
    <row r="30" spans="1:44" outlineLevel="1" x14ac:dyDescent="0.2">
      <c r="B30" s="316" t="str">
        <f>'project budget'!B30</f>
        <v>[Additional Field - Specify]</v>
      </c>
      <c r="C30" s="269">
        <f>'project budget'!C30</f>
        <v>0</v>
      </c>
      <c r="D30" s="193" t="e">
        <f t="shared" si="11"/>
        <v>#DIV/0!</v>
      </c>
      <c r="E30" s="193" t="e">
        <f t="shared" si="10"/>
        <v>#DIV/0!</v>
      </c>
      <c r="F30" s="255" t="e">
        <f>D30/'rent summary'!$D$25</f>
        <v>#DIV/0!</v>
      </c>
      <c r="G30" s="620" t="e">
        <f>C30/rents!$R$105</f>
        <v>#DIV/0!</v>
      </c>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93">
        <f t="shared" si="8"/>
        <v>0</v>
      </c>
      <c r="AR30" s="193">
        <f t="shared" si="9"/>
        <v>0</v>
      </c>
    </row>
    <row r="31" spans="1:44" outlineLevel="1" x14ac:dyDescent="0.2">
      <c r="B31" s="316" t="str">
        <f>'project budget'!B31</f>
        <v>[Additional Field - Specify]</v>
      </c>
      <c r="C31" s="269">
        <f>'project budget'!C31</f>
        <v>0</v>
      </c>
      <c r="D31" s="193" t="e">
        <f t="shared" si="11"/>
        <v>#DIV/0!</v>
      </c>
      <c r="E31" s="193" t="e">
        <f t="shared" si="10"/>
        <v>#DIV/0!</v>
      </c>
      <c r="F31" s="255" t="e">
        <f>D31/'rent summary'!$D$25</f>
        <v>#DIV/0!</v>
      </c>
      <c r="G31" s="620" t="e">
        <f>C31/rents!$R$105</f>
        <v>#DIV/0!</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93">
        <f t="shared" si="8"/>
        <v>0</v>
      </c>
      <c r="AR31" s="193">
        <f t="shared" si="9"/>
        <v>0</v>
      </c>
    </row>
    <row r="32" spans="1:44" outlineLevel="1" x14ac:dyDescent="0.2">
      <c r="B32" s="317" t="str">
        <f>'project budget'!B32</f>
        <v>[Additional Field - Specify]</v>
      </c>
      <c r="C32" s="269">
        <f>'project budget'!C32</f>
        <v>0</v>
      </c>
      <c r="D32" s="193" t="e">
        <f t="shared" si="11"/>
        <v>#DIV/0!</v>
      </c>
      <c r="E32" s="193" t="e">
        <f t="shared" si="10"/>
        <v>#DIV/0!</v>
      </c>
      <c r="F32" s="197" t="e">
        <f>D32/'rent summary'!$D$25</f>
        <v>#DIV/0!</v>
      </c>
      <c r="G32" s="620" t="e">
        <f>C32/rents!$R$105</f>
        <v>#DIV/0!</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93">
        <f t="shared" si="8"/>
        <v>0</v>
      </c>
      <c r="AR32" s="193">
        <f t="shared" si="9"/>
        <v>0</v>
      </c>
    </row>
    <row r="33" spans="1:44" x14ac:dyDescent="0.2">
      <c r="A33" s="111"/>
      <c r="B33" s="318" t="s">
        <v>138</v>
      </c>
      <c r="C33" s="194">
        <f>SUM(C15:C32)</f>
        <v>0</v>
      </c>
      <c r="D33" s="194" t="e">
        <f>SUM(D15:D32)</f>
        <v>#DIV/0!</v>
      </c>
      <c r="E33" s="194" t="e">
        <f>SUM(E15:E32)</f>
        <v>#DIV/0!</v>
      </c>
      <c r="F33" s="253" t="e">
        <f>D33/'rent summary'!$D$25</f>
        <v>#DIV/0!</v>
      </c>
      <c r="G33" s="622" t="e">
        <f>SUM(G15:G32)</f>
        <v>#DIV/0!</v>
      </c>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row>
    <row r="34" spans="1:44" x14ac:dyDescent="0.2">
      <c r="A34" s="111"/>
      <c r="B34" s="27" t="s">
        <v>139</v>
      </c>
      <c r="C34" s="196">
        <f>SUM(C13,C33)</f>
        <v>0</v>
      </c>
      <c r="D34" s="196" t="e">
        <f t="shared" ref="D34" si="15">SUM(D13,D33)</f>
        <v>#DIV/0!</v>
      </c>
      <c r="E34" s="196" t="e">
        <f>SUM(E13,E33)</f>
        <v>#DIV/0!</v>
      </c>
      <c r="F34" s="196" t="e">
        <f>SUM(F13,F33)</f>
        <v>#DIV/0!</v>
      </c>
      <c r="G34" s="624" t="e">
        <f>SUM(G13,G33)</f>
        <v>#DIV/0!</v>
      </c>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row>
    <row r="35" spans="1:44" ht="15" x14ac:dyDescent="0.25">
      <c r="B35" s="25" t="s">
        <v>140</v>
      </c>
      <c r="C35" s="1"/>
      <c r="D35" s="1"/>
      <c r="E35" s="1"/>
      <c r="F35" s="1"/>
      <c r="G35" s="623"/>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4"/>
      <c r="AR35" s="14"/>
    </row>
    <row r="36" spans="1:44" x14ac:dyDescent="0.2">
      <c r="B36" s="2" t="str">
        <f>'project budget'!B36</f>
        <v>Architectural</v>
      </c>
      <c r="C36" s="269">
        <f>'project budget'!C36</f>
        <v>0</v>
      </c>
      <c r="D36" s="193" t="e">
        <f t="shared" ref="D36" si="16">C36*$D$2</f>
        <v>#DIV/0!</v>
      </c>
      <c r="E36" s="193" t="e">
        <f t="shared" ref="E36" si="17">C36*$E$2</f>
        <v>#DIV/0!</v>
      </c>
      <c r="F36" s="193" t="e">
        <f>D36/'rent summary'!$D$25</f>
        <v>#DIV/0!</v>
      </c>
      <c r="G36" s="620" t="e">
        <f>C36/rents!$R$105</f>
        <v>#DIV/0!</v>
      </c>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93">
        <f>SUM(H36:AP36)</f>
        <v>0</v>
      </c>
      <c r="AR36" s="193">
        <f>AQ36-C36</f>
        <v>0</v>
      </c>
    </row>
    <row r="37" spans="1:44" x14ac:dyDescent="0.2">
      <c r="B37" s="2" t="str">
        <f>'project budget'!B37</f>
        <v>Engineering</v>
      </c>
      <c r="C37" s="269">
        <f>'project budget'!C37</f>
        <v>0</v>
      </c>
      <c r="D37" s="193" t="e">
        <f t="shared" ref="D37:D65" si="18">C37*$D$2</f>
        <v>#DIV/0!</v>
      </c>
      <c r="E37" s="193" t="e">
        <f t="shared" ref="E37:E65" si="19">C37*$E$2</f>
        <v>#DIV/0!</v>
      </c>
      <c r="F37" s="193" t="e">
        <f>D37/'rent summary'!$D$25</f>
        <v>#DIV/0!</v>
      </c>
      <c r="G37" s="620" t="e">
        <f>C37/rents!$R$105</f>
        <v>#DIV/0!</v>
      </c>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93">
        <f t="shared" ref="AQ37:AQ65" si="20">SUM(H37:AP37)</f>
        <v>0</v>
      </c>
      <c r="AR37" s="193">
        <f t="shared" ref="AR37:AR65" si="21">AQ37-C37</f>
        <v>0</v>
      </c>
    </row>
    <row r="38" spans="1:44" x14ac:dyDescent="0.2">
      <c r="B38" s="2" t="str">
        <f>'project budget'!B38</f>
        <v xml:space="preserve">A&amp;E Combined Contract </v>
      </c>
      <c r="C38" s="269">
        <f>'project budget'!C38</f>
        <v>0</v>
      </c>
      <c r="D38" s="193" t="e">
        <f t="shared" si="18"/>
        <v>#DIV/0!</v>
      </c>
      <c r="E38" s="193" t="e">
        <f t="shared" si="19"/>
        <v>#DIV/0!</v>
      </c>
      <c r="F38" s="193" t="e">
        <f>D38/'rent summary'!$D$25</f>
        <v>#DIV/0!</v>
      </c>
      <c r="G38" s="620" t="e">
        <f>C38/rents!$R$105</f>
        <v>#DIV/0!</v>
      </c>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93">
        <f t="shared" si="20"/>
        <v>0</v>
      </c>
      <c r="AR38" s="193">
        <f t="shared" si="21"/>
        <v>0</v>
      </c>
    </row>
    <row r="39" spans="1:44" x14ac:dyDescent="0.2">
      <c r="B39" s="2" t="str">
        <f>'project budget'!B39</f>
        <v>Legal/Accounting</v>
      </c>
      <c r="C39" s="269">
        <f>'project budget'!C39</f>
        <v>0</v>
      </c>
      <c r="D39" s="193" t="e">
        <f t="shared" si="18"/>
        <v>#DIV/0!</v>
      </c>
      <c r="E39" s="193" t="e">
        <f t="shared" si="19"/>
        <v>#DIV/0!</v>
      </c>
      <c r="F39" s="193" t="e">
        <f>D39/'rent summary'!$D$25</f>
        <v>#DIV/0!</v>
      </c>
      <c r="G39" s="620" t="e">
        <f>C39/rents!$R$105</f>
        <v>#DIV/0!</v>
      </c>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93">
        <f t="shared" si="20"/>
        <v>0</v>
      </c>
      <c r="AR39" s="193">
        <f t="shared" si="21"/>
        <v>0</v>
      </c>
    </row>
    <row r="40" spans="1:44" x14ac:dyDescent="0.2">
      <c r="B40" s="2" t="str">
        <f>'project budget'!B40</f>
        <v>Relocation</v>
      </c>
      <c r="C40" s="269">
        <f>'project budget'!C40</f>
        <v>0</v>
      </c>
      <c r="D40" s="193" t="e">
        <f t="shared" si="18"/>
        <v>#DIV/0!</v>
      </c>
      <c r="E40" s="193" t="e">
        <f t="shared" si="19"/>
        <v>#DIV/0!</v>
      </c>
      <c r="F40" s="193" t="e">
        <f>D40/'rent summary'!$D$25</f>
        <v>#DIV/0!</v>
      </c>
      <c r="G40" s="620" t="e">
        <f>C40/rents!$R$105</f>
        <v>#DIV/0!</v>
      </c>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93">
        <f t="shared" si="20"/>
        <v>0</v>
      </c>
      <c r="AR40" s="193">
        <f t="shared" si="21"/>
        <v>0</v>
      </c>
    </row>
    <row r="41" spans="1:44" x14ac:dyDescent="0.2">
      <c r="B41" s="2" t="str">
        <f>'project budget'!B41</f>
        <v>Construction Inspections</v>
      </c>
      <c r="C41" s="269">
        <f>'project budget'!C41</f>
        <v>0</v>
      </c>
      <c r="D41" s="193" t="e">
        <f t="shared" si="18"/>
        <v>#DIV/0!</v>
      </c>
      <c r="E41" s="193" t="e">
        <f t="shared" si="19"/>
        <v>#DIV/0!</v>
      </c>
      <c r="F41" s="193" t="e">
        <f>D41/'rent summary'!$D$25</f>
        <v>#DIV/0!</v>
      </c>
      <c r="G41" s="620" t="e">
        <f>C41/rents!$R$105</f>
        <v>#DIV/0!</v>
      </c>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93">
        <f t="shared" si="20"/>
        <v>0</v>
      </c>
      <c r="AR41" s="193">
        <f t="shared" si="21"/>
        <v>0</v>
      </c>
    </row>
    <row r="42" spans="1:44" x14ac:dyDescent="0.2">
      <c r="B42" s="2" t="str">
        <f>'project budget'!B42</f>
        <v>Environmental Assessment</v>
      </c>
      <c r="C42" s="269">
        <f>'project budget'!C42</f>
        <v>0</v>
      </c>
      <c r="D42" s="193" t="e">
        <f t="shared" si="18"/>
        <v>#DIV/0!</v>
      </c>
      <c r="E42" s="193" t="e">
        <f t="shared" si="19"/>
        <v>#DIV/0!</v>
      </c>
      <c r="F42" s="193" t="e">
        <f>D42/'rent summary'!$D$25</f>
        <v>#DIV/0!</v>
      </c>
      <c r="G42" s="620" t="e">
        <f>C42/rents!$R$105</f>
        <v>#DIV/0!</v>
      </c>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93">
        <f t="shared" si="20"/>
        <v>0</v>
      </c>
      <c r="AR42" s="193">
        <f t="shared" si="21"/>
        <v>0</v>
      </c>
    </row>
    <row r="43" spans="1:44" x14ac:dyDescent="0.2">
      <c r="B43" s="2" t="str">
        <f>'project budget'!B43</f>
        <v>Energy Assessment</v>
      </c>
      <c r="C43" s="269">
        <f>'project budget'!C43</f>
        <v>0</v>
      </c>
      <c r="D43" s="193" t="e">
        <f t="shared" si="18"/>
        <v>#DIV/0!</v>
      </c>
      <c r="E43" s="193" t="e">
        <f t="shared" si="19"/>
        <v>#DIV/0!</v>
      </c>
      <c r="F43" s="193" t="e">
        <f>D43/'rent summary'!$D$25</f>
        <v>#DIV/0!</v>
      </c>
      <c r="G43" s="620" t="e">
        <f>C43/rents!$R$105</f>
        <v>#DIV/0!</v>
      </c>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93">
        <f t="shared" si="20"/>
        <v>0</v>
      </c>
      <c r="AR43" s="193">
        <f t="shared" si="21"/>
        <v>0</v>
      </c>
    </row>
    <row r="44" spans="1:44" x14ac:dyDescent="0.2">
      <c r="B44" s="2" t="str">
        <f>'project budget'!B44</f>
        <v>Permits/Fees</v>
      </c>
      <c r="C44" s="269">
        <f>'project budget'!C44</f>
        <v>0</v>
      </c>
      <c r="D44" s="193" t="e">
        <f t="shared" si="18"/>
        <v>#DIV/0!</v>
      </c>
      <c r="E44" s="193" t="e">
        <f t="shared" si="19"/>
        <v>#DIV/0!</v>
      </c>
      <c r="F44" s="193" t="e">
        <f>D44/'rent summary'!$D$25</f>
        <v>#DIV/0!</v>
      </c>
      <c r="G44" s="620" t="e">
        <f>C44/rents!$R$105</f>
        <v>#DIV/0!</v>
      </c>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93">
        <f t="shared" si="20"/>
        <v>0</v>
      </c>
      <c r="AR44" s="193">
        <f t="shared" si="21"/>
        <v>0</v>
      </c>
    </row>
    <row r="45" spans="1:44" x14ac:dyDescent="0.2">
      <c r="B45" s="2" t="str">
        <f>'project budget'!B45</f>
        <v>Market Study</v>
      </c>
      <c r="C45" s="269">
        <f>'project budget'!C45</f>
        <v>0</v>
      </c>
      <c r="D45" s="193" t="e">
        <f t="shared" si="18"/>
        <v>#DIV/0!</v>
      </c>
      <c r="E45" s="193" t="e">
        <f t="shared" si="19"/>
        <v>#DIV/0!</v>
      </c>
      <c r="F45" s="193" t="e">
        <f>D45/'rent summary'!$D$25</f>
        <v>#DIV/0!</v>
      </c>
      <c r="G45" s="620" t="e">
        <f>C45/rents!$R$105</f>
        <v>#DIV/0!</v>
      </c>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93">
        <f t="shared" si="20"/>
        <v>0</v>
      </c>
      <c r="AR45" s="193">
        <f t="shared" si="21"/>
        <v>0</v>
      </c>
    </row>
    <row r="46" spans="1:44" x14ac:dyDescent="0.2">
      <c r="B46" s="2" t="str">
        <f>'project budget'!B46</f>
        <v>Cost Certification</v>
      </c>
      <c r="C46" s="269">
        <f>'project budget'!C46</f>
        <v>0</v>
      </c>
      <c r="D46" s="193" t="e">
        <f t="shared" si="18"/>
        <v>#DIV/0!</v>
      </c>
      <c r="E46" s="193" t="e">
        <f t="shared" si="19"/>
        <v>#DIV/0!</v>
      </c>
      <c r="F46" s="193" t="e">
        <f>D46/'rent summary'!$D$25</f>
        <v>#DIV/0!</v>
      </c>
      <c r="G46" s="620" t="e">
        <f>C46/rents!$R$105</f>
        <v>#DIV/0!</v>
      </c>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93">
        <f t="shared" si="20"/>
        <v>0</v>
      </c>
      <c r="AR46" s="193">
        <f t="shared" si="21"/>
        <v>0</v>
      </c>
    </row>
    <row r="47" spans="1:44" x14ac:dyDescent="0.2">
      <c r="B47" s="2" t="str">
        <f>'project budget'!B47</f>
        <v>Capital Needs Assessment</v>
      </c>
      <c r="C47" s="269">
        <f>'project budget'!C47</f>
        <v>0</v>
      </c>
      <c r="D47" s="193" t="e">
        <f t="shared" si="18"/>
        <v>#DIV/0!</v>
      </c>
      <c r="E47" s="193" t="e">
        <f t="shared" si="19"/>
        <v>#DIV/0!</v>
      </c>
      <c r="F47" s="193" t="e">
        <f>D47/'rent summary'!$D$25</f>
        <v>#DIV/0!</v>
      </c>
      <c r="G47" s="620" t="e">
        <f>C47/rents!$R$105</f>
        <v>#DIV/0!</v>
      </c>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93">
        <f t="shared" si="20"/>
        <v>0</v>
      </c>
      <c r="AR47" s="193">
        <f t="shared" si="21"/>
        <v>0</v>
      </c>
    </row>
    <row r="48" spans="1:44" x14ac:dyDescent="0.2">
      <c r="B48" s="2" t="str">
        <f>'project budget'!B48</f>
        <v>Construction Period Insurance</v>
      </c>
      <c r="C48" s="269">
        <f>'project budget'!C48</f>
        <v>0</v>
      </c>
      <c r="D48" s="193" t="e">
        <f t="shared" si="18"/>
        <v>#DIV/0!</v>
      </c>
      <c r="E48" s="193" t="e">
        <f t="shared" si="19"/>
        <v>#DIV/0!</v>
      </c>
      <c r="F48" s="193" t="e">
        <f>D48/'rent summary'!$D$25</f>
        <v>#DIV/0!</v>
      </c>
      <c r="G48" s="620" t="e">
        <f>C48/rents!$R$105</f>
        <v>#DIV/0!</v>
      </c>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93">
        <f t="shared" si="20"/>
        <v>0</v>
      </c>
      <c r="AR48" s="193">
        <f t="shared" si="21"/>
        <v>0</v>
      </c>
    </row>
    <row r="49" spans="2:44" x14ac:dyDescent="0.2">
      <c r="B49" s="2" t="str">
        <f>'project budget'!B49</f>
        <v>Construction Loan Interest</v>
      </c>
      <c r="C49" s="269">
        <f>'project budget'!C49</f>
        <v>0</v>
      </c>
      <c r="D49" s="193" t="e">
        <f t="shared" si="18"/>
        <v>#DIV/0!</v>
      </c>
      <c r="E49" s="193" t="e">
        <f t="shared" si="19"/>
        <v>#DIV/0!</v>
      </c>
      <c r="F49" s="193" t="e">
        <f>D49/'rent summary'!$D$25</f>
        <v>#DIV/0!</v>
      </c>
      <c r="G49" s="620" t="e">
        <f>C49/rents!$R$105</f>
        <v>#DIV/0!</v>
      </c>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93">
        <f t="shared" si="20"/>
        <v>0</v>
      </c>
      <c r="AR49" s="193">
        <f t="shared" si="21"/>
        <v>0</v>
      </c>
    </row>
    <row r="50" spans="2:44" x14ac:dyDescent="0.2">
      <c r="B50" s="2" t="str">
        <f>'project budget'!B50</f>
        <v>Construction Loan Origination Fee</v>
      </c>
      <c r="C50" s="269">
        <f>'project budget'!C50</f>
        <v>0</v>
      </c>
      <c r="D50" s="193" t="e">
        <f t="shared" si="18"/>
        <v>#DIV/0!</v>
      </c>
      <c r="E50" s="193" t="e">
        <f t="shared" si="19"/>
        <v>#DIV/0!</v>
      </c>
      <c r="F50" s="193" t="e">
        <f>D50/'rent summary'!$D$25</f>
        <v>#DIV/0!</v>
      </c>
      <c r="G50" s="620" t="e">
        <f>C50/rents!$R$105</f>
        <v>#DIV/0!</v>
      </c>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93">
        <f t="shared" si="20"/>
        <v>0</v>
      </c>
      <c r="AR50" s="193">
        <f t="shared" si="21"/>
        <v>0</v>
      </c>
    </row>
    <row r="51" spans="2:44" x14ac:dyDescent="0.2">
      <c r="B51" s="2" t="str">
        <f>'project budget'!B51</f>
        <v>Taxes During Construction</v>
      </c>
      <c r="C51" s="269">
        <f>'project budget'!C51</f>
        <v>0</v>
      </c>
      <c r="D51" s="193" t="e">
        <f t="shared" si="18"/>
        <v>#DIV/0!</v>
      </c>
      <c r="E51" s="193" t="e">
        <f t="shared" si="19"/>
        <v>#DIV/0!</v>
      </c>
      <c r="F51" s="193" t="e">
        <f>D51/'rent summary'!$D$25</f>
        <v>#DIV/0!</v>
      </c>
      <c r="G51" s="620" t="e">
        <f>C51/rents!$R$105</f>
        <v>#DIV/0!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93">
        <f t="shared" si="20"/>
        <v>0</v>
      </c>
      <c r="AR51" s="193">
        <f t="shared" si="21"/>
        <v>0</v>
      </c>
    </row>
    <row r="52" spans="2:44" x14ac:dyDescent="0.2">
      <c r="B52" s="2" t="str">
        <f>'project budget'!B52</f>
        <v>Clerk of the Works</v>
      </c>
      <c r="C52" s="269">
        <f>'project budget'!C52</f>
        <v>0</v>
      </c>
      <c r="D52" s="193" t="e">
        <f t="shared" si="18"/>
        <v>#DIV/0!</v>
      </c>
      <c r="E52" s="193" t="e">
        <f t="shared" si="19"/>
        <v>#DIV/0!</v>
      </c>
      <c r="F52" s="193" t="e">
        <f>D52/'rent summary'!$D$25</f>
        <v>#DIV/0!</v>
      </c>
      <c r="G52" s="620" t="e">
        <f>C52/rents!$R$105</f>
        <v>#DIV/0!</v>
      </c>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93">
        <f t="shared" si="20"/>
        <v>0</v>
      </c>
      <c r="AR52" s="193">
        <f t="shared" si="21"/>
        <v>0</v>
      </c>
    </row>
    <row r="53" spans="2:44" x14ac:dyDescent="0.2">
      <c r="B53" s="2" t="str">
        <f>'project budget'!B53</f>
        <v>Marketing</v>
      </c>
      <c r="C53" s="269">
        <f>'project budget'!C53</f>
        <v>0</v>
      </c>
      <c r="D53" s="193" t="e">
        <f t="shared" si="18"/>
        <v>#DIV/0!</v>
      </c>
      <c r="E53" s="193" t="e">
        <f t="shared" si="19"/>
        <v>#DIV/0!</v>
      </c>
      <c r="F53" s="193" t="e">
        <f>D53/'rent summary'!$D$25</f>
        <v>#DIV/0!</v>
      </c>
      <c r="G53" s="620" t="e">
        <f>C53/rents!$R$105</f>
        <v>#DIV/0!</v>
      </c>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93">
        <f t="shared" si="20"/>
        <v>0</v>
      </c>
      <c r="AR53" s="193">
        <f t="shared" si="21"/>
        <v>0</v>
      </c>
    </row>
    <row r="54" spans="2:44" x14ac:dyDescent="0.2">
      <c r="B54" s="2" t="str">
        <f>'project budget'!B54</f>
        <v>Tax Credit Fees</v>
      </c>
      <c r="C54" s="269">
        <f>'project budget'!C54</f>
        <v>0</v>
      </c>
      <c r="D54" s="193" t="e">
        <f t="shared" si="18"/>
        <v>#DIV/0!</v>
      </c>
      <c r="E54" s="193" t="e">
        <f t="shared" si="19"/>
        <v>#DIV/0!</v>
      </c>
      <c r="F54" s="193" t="e">
        <f>D54/'rent summary'!$D$25</f>
        <v>#DIV/0!</v>
      </c>
      <c r="G54" s="620" t="e">
        <f>C54/rents!$R$105</f>
        <v>#DIV/0!</v>
      </c>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93">
        <f t="shared" si="20"/>
        <v>0</v>
      </c>
      <c r="AR54" s="193">
        <f t="shared" si="21"/>
        <v>0</v>
      </c>
    </row>
    <row r="55" spans="2:44" x14ac:dyDescent="0.2">
      <c r="B55" s="2" t="str">
        <f>'project budget'!B55</f>
        <v>Soft Cost Contingency</v>
      </c>
      <c r="C55" s="269">
        <f>'project budget'!C55</f>
        <v>0</v>
      </c>
      <c r="D55" s="193" t="e">
        <f t="shared" si="18"/>
        <v>#DIV/0!</v>
      </c>
      <c r="E55" s="193" t="e">
        <f t="shared" si="19"/>
        <v>#DIV/0!</v>
      </c>
      <c r="F55" s="193" t="e">
        <f>D55/'rent summary'!$D$25</f>
        <v>#DIV/0!</v>
      </c>
      <c r="G55" s="620" t="e">
        <f>C55/rents!$R$105</f>
        <v>#DIV/0!</v>
      </c>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93">
        <f t="shared" si="20"/>
        <v>0</v>
      </c>
      <c r="AR55" s="193">
        <f t="shared" si="21"/>
        <v>0</v>
      </c>
    </row>
    <row r="56" spans="2:44" x14ac:dyDescent="0.2">
      <c r="B56" s="2" t="str">
        <f>'project budget'!B56</f>
        <v>Permanent Loan Origination Fee</v>
      </c>
      <c r="C56" s="269">
        <f>'project budget'!C56</f>
        <v>0</v>
      </c>
      <c r="D56" s="193" t="e">
        <f t="shared" si="18"/>
        <v>#DIV/0!</v>
      </c>
      <c r="E56" s="193" t="e">
        <f t="shared" si="19"/>
        <v>#DIV/0!</v>
      </c>
      <c r="F56" s="193" t="e">
        <f>D56/'rent summary'!$D$25</f>
        <v>#DIV/0!</v>
      </c>
      <c r="G56" s="620" t="e">
        <f>C56/rents!$R$105</f>
        <v>#DIV/0!</v>
      </c>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93">
        <f t="shared" si="20"/>
        <v>0</v>
      </c>
      <c r="AR56" s="193">
        <f t="shared" si="21"/>
        <v>0</v>
      </c>
    </row>
    <row r="57" spans="2:44" x14ac:dyDescent="0.2">
      <c r="B57" s="2" t="str">
        <f>'project budget'!B57</f>
        <v>Lender's Counsel's Fee</v>
      </c>
      <c r="C57" s="269">
        <f>'project budget'!C57</f>
        <v>0</v>
      </c>
      <c r="D57" s="193" t="e">
        <f t="shared" si="18"/>
        <v>#DIV/0!</v>
      </c>
      <c r="E57" s="193" t="e">
        <f t="shared" si="19"/>
        <v>#DIV/0!</v>
      </c>
      <c r="F57" s="193" t="e">
        <f>D57/'rent summary'!$D$25</f>
        <v>#DIV/0!</v>
      </c>
      <c r="G57" s="620" t="e">
        <f>C57/rents!$R$105</f>
        <v>#DIV/0!</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93">
        <f t="shared" si="20"/>
        <v>0</v>
      </c>
      <c r="AR57" s="193">
        <f t="shared" si="21"/>
        <v>0</v>
      </c>
    </row>
    <row r="58" spans="2:44" outlineLevel="1" x14ac:dyDescent="0.2">
      <c r="B58" s="316" t="str">
        <f>'project budget'!B58</f>
        <v>[Additional Field - Specify]</v>
      </c>
      <c r="C58" s="269">
        <f>'project budget'!C58</f>
        <v>0</v>
      </c>
      <c r="D58" s="193" t="e">
        <f t="shared" si="18"/>
        <v>#DIV/0!</v>
      </c>
      <c r="E58" s="193" t="e">
        <f t="shared" si="19"/>
        <v>#DIV/0!</v>
      </c>
      <c r="F58" s="193" t="e">
        <f>D58/'rent summary'!$D$25</f>
        <v>#DIV/0!</v>
      </c>
      <c r="G58" s="620" t="e">
        <f>C58/rents!$R$105</f>
        <v>#DIV/0!</v>
      </c>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93">
        <f t="shared" si="20"/>
        <v>0</v>
      </c>
      <c r="AR58" s="193">
        <f t="shared" si="21"/>
        <v>0</v>
      </c>
    </row>
    <row r="59" spans="2:44" outlineLevel="1" x14ac:dyDescent="0.2">
      <c r="B59" s="316" t="str">
        <f>'project budget'!B59</f>
        <v>[Additional Field - Specify]</v>
      </c>
      <c r="C59" s="269">
        <f>'project budget'!C59</f>
        <v>0</v>
      </c>
      <c r="D59" s="193" t="e">
        <f t="shared" si="18"/>
        <v>#DIV/0!</v>
      </c>
      <c r="E59" s="193" t="e">
        <f t="shared" si="19"/>
        <v>#DIV/0!</v>
      </c>
      <c r="F59" s="193" t="e">
        <f>D59/'rent summary'!$D$25</f>
        <v>#DIV/0!</v>
      </c>
      <c r="G59" s="620" t="e">
        <f>C59/rents!$R$105</f>
        <v>#DIV/0!</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93">
        <f t="shared" si="20"/>
        <v>0</v>
      </c>
      <c r="AR59" s="193">
        <f t="shared" si="21"/>
        <v>0</v>
      </c>
    </row>
    <row r="60" spans="2:44" outlineLevel="1" x14ac:dyDescent="0.2">
      <c r="B60" s="316" t="str">
        <f>'project budget'!B60</f>
        <v>[Additional Field - Specify]</v>
      </c>
      <c r="C60" s="269">
        <f>'project budget'!C60</f>
        <v>0</v>
      </c>
      <c r="D60" s="193" t="e">
        <f t="shared" si="18"/>
        <v>#DIV/0!</v>
      </c>
      <c r="E60" s="193" t="e">
        <f t="shared" si="19"/>
        <v>#DIV/0!</v>
      </c>
      <c r="F60" s="193" t="e">
        <f>D60/'rent summary'!$D$25</f>
        <v>#DIV/0!</v>
      </c>
      <c r="G60" s="620" t="e">
        <f>C60/rents!$R$105</f>
        <v>#DIV/0!</v>
      </c>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93">
        <f t="shared" si="20"/>
        <v>0</v>
      </c>
      <c r="AR60" s="193">
        <f t="shared" si="21"/>
        <v>0</v>
      </c>
    </row>
    <row r="61" spans="2:44" outlineLevel="1" x14ac:dyDescent="0.2">
      <c r="B61" s="316" t="str">
        <f>'project budget'!B61</f>
        <v>[Additional Field - Specify]</v>
      </c>
      <c r="C61" s="269">
        <f>'project budget'!C61</f>
        <v>0</v>
      </c>
      <c r="D61" s="193" t="e">
        <f t="shared" si="18"/>
        <v>#DIV/0!</v>
      </c>
      <c r="E61" s="193" t="e">
        <f t="shared" si="19"/>
        <v>#DIV/0!</v>
      </c>
      <c r="F61" s="193" t="e">
        <f>D61/'rent summary'!$D$25</f>
        <v>#DIV/0!</v>
      </c>
      <c r="G61" s="620" t="e">
        <f>C61/rents!$R$105</f>
        <v>#DIV/0!</v>
      </c>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93">
        <f t="shared" si="20"/>
        <v>0</v>
      </c>
      <c r="AR61" s="193">
        <f t="shared" si="21"/>
        <v>0</v>
      </c>
    </row>
    <row r="62" spans="2:44" outlineLevel="1" x14ac:dyDescent="0.2">
      <c r="B62" s="316" t="str">
        <f>'project budget'!B62</f>
        <v>[Additional Field - Specify]</v>
      </c>
      <c r="C62" s="269">
        <f>'project budget'!C62</f>
        <v>0</v>
      </c>
      <c r="D62" s="193" t="e">
        <f t="shared" si="18"/>
        <v>#DIV/0!</v>
      </c>
      <c r="E62" s="193" t="e">
        <f t="shared" si="19"/>
        <v>#DIV/0!</v>
      </c>
      <c r="F62" s="193" t="e">
        <f>D62/'rent summary'!$D$25</f>
        <v>#DIV/0!</v>
      </c>
      <c r="G62" s="620" t="e">
        <f>C62/rents!$R$105</f>
        <v>#DIV/0!</v>
      </c>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93">
        <f t="shared" si="20"/>
        <v>0</v>
      </c>
      <c r="AR62" s="193">
        <f t="shared" si="21"/>
        <v>0</v>
      </c>
    </row>
    <row r="63" spans="2:44" outlineLevel="1" x14ac:dyDescent="0.2">
      <c r="B63" s="316" t="str">
        <f>'project budget'!B63</f>
        <v>[Additional Field - Specify]</v>
      </c>
      <c r="C63" s="269">
        <f>'project budget'!C63</f>
        <v>0</v>
      </c>
      <c r="D63" s="193" t="e">
        <f t="shared" si="18"/>
        <v>#DIV/0!</v>
      </c>
      <c r="E63" s="193" t="e">
        <f t="shared" si="19"/>
        <v>#DIV/0!</v>
      </c>
      <c r="F63" s="193" t="e">
        <f>D63/'rent summary'!$D$25</f>
        <v>#DIV/0!</v>
      </c>
      <c r="G63" s="620" t="e">
        <f>C63/rents!$R$105</f>
        <v>#DIV/0!</v>
      </c>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93">
        <f t="shared" si="20"/>
        <v>0</v>
      </c>
      <c r="AR63" s="193">
        <f t="shared" si="21"/>
        <v>0</v>
      </c>
    </row>
    <row r="64" spans="2:44" outlineLevel="1" x14ac:dyDescent="0.2">
      <c r="B64" s="316" t="str">
        <f>'project budget'!B64</f>
        <v>[Additional Field - Specify]</v>
      </c>
      <c r="C64" s="269">
        <f>'project budget'!C64</f>
        <v>0</v>
      </c>
      <c r="D64" s="193" t="e">
        <f t="shared" si="18"/>
        <v>#DIV/0!</v>
      </c>
      <c r="E64" s="193" t="e">
        <f t="shared" si="19"/>
        <v>#DIV/0!</v>
      </c>
      <c r="F64" s="193" t="e">
        <f>D64/'rent summary'!$D$25</f>
        <v>#DIV/0!</v>
      </c>
      <c r="G64" s="620" t="e">
        <f>C64/rents!$R$105</f>
        <v>#DIV/0!</v>
      </c>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93">
        <f t="shared" si="20"/>
        <v>0</v>
      </c>
      <c r="AR64" s="193">
        <f t="shared" si="21"/>
        <v>0</v>
      </c>
    </row>
    <row r="65" spans="1:44" outlineLevel="1" x14ac:dyDescent="0.2">
      <c r="B65" s="316" t="str">
        <f>'project budget'!B65</f>
        <v>[Additional Field - Specify]</v>
      </c>
      <c r="C65" s="269">
        <f>'project budget'!C65</f>
        <v>0</v>
      </c>
      <c r="D65" s="193" t="e">
        <f t="shared" si="18"/>
        <v>#DIV/0!</v>
      </c>
      <c r="E65" s="193" t="e">
        <f t="shared" si="19"/>
        <v>#DIV/0!</v>
      </c>
      <c r="F65" s="193" t="e">
        <f>D65/'rent summary'!$D$25</f>
        <v>#DIV/0!</v>
      </c>
      <c r="G65" s="620" t="e">
        <f>C65/rents!$R$105</f>
        <v>#DIV/0!</v>
      </c>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93">
        <f t="shared" si="20"/>
        <v>0</v>
      </c>
      <c r="AR65" s="193">
        <f t="shared" si="21"/>
        <v>0</v>
      </c>
    </row>
    <row r="66" spans="1:44" x14ac:dyDescent="0.2">
      <c r="A66" s="111"/>
      <c r="B66" s="318" t="s">
        <v>162</v>
      </c>
      <c r="C66" s="256">
        <f>SUM(C36:C65)</f>
        <v>0</v>
      </c>
      <c r="D66" s="256" t="e">
        <f>SUM(D36:D65)</f>
        <v>#DIV/0!</v>
      </c>
      <c r="E66" s="256" t="e">
        <f>SUM(E36:E65)</f>
        <v>#DIV/0!</v>
      </c>
      <c r="F66" s="253"/>
      <c r="G66" s="622"/>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row>
    <row r="67" spans="1:44" x14ac:dyDescent="0.2">
      <c r="B67" s="26" t="s">
        <v>163</v>
      </c>
      <c r="C67" s="1"/>
      <c r="D67" s="1"/>
      <c r="E67" s="1"/>
      <c r="F67" s="1"/>
      <c r="G67" s="623"/>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row>
    <row r="68" spans="1:44" x14ac:dyDescent="0.2">
      <c r="B68" s="2" t="str">
        <f>'project budget'!B68</f>
        <v>Organizational (Partnership)</v>
      </c>
      <c r="C68" s="269">
        <f>'project budget'!C68</f>
        <v>0</v>
      </c>
      <c r="D68" s="193" t="e">
        <f t="shared" ref="D68:D82" si="22">C68*$D$2</f>
        <v>#DIV/0!</v>
      </c>
      <c r="E68" s="193" t="e">
        <f t="shared" ref="E68:E74" si="23">C68*$E$2</f>
        <v>#DIV/0!</v>
      </c>
      <c r="F68" s="193" t="e">
        <f>D68/'rent summary'!$D$25</f>
        <v>#DIV/0!</v>
      </c>
      <c r="G68" s="620" t="e">
        <f>C68/rents!$R$105</f>
        <v>#DIV/0!</v>
      </c>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93">
        <f t="shared" ref="AQ68:AQ74" si="24">SUM(H68:AP68)</f>
        <v>0</v>
      </c>
      <c r="AR68" s="193">
        <f t="shared" ref="AR68:AR74" si="25">AQ68-C68</f>
        <v>0</v>
      </c>
    </row>
    <row r="69" spans="1:44" x14ac:dyDescent="0.2">
      <c r="B69" s="2" t="str">
        <f>'project budget'!B69</f>
        <v>Bridge Loan Fees and Expenses</v>
      </c>
      <c r="C69" s="269">
        <f>'project budget'!C69</f>
        <v>0</v>
      </c>
      <c r="D69" s="193" t="e">
        <f t="shared" si="22"/>
        <v>#DIV/0!</v>
      </c>
      <c r="E69" s="193" t="e">
        <f t="shared" si="23"/>
        <v>#DIV/0!</v>
      </c>
      <c r="F69" s="193" t="e">
        <f>D69/'rent summary'!$D$25</f>
        <v>#DIV/0!</v>
      </c>
      <c r="G69" s="620" t="e">
        <f>C69/rents!$R$105</f>
        <v>#DIV/0!</v>
      </c>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93">
        <f t="shared" si="24"/>
        <v>0</v>
      </c>
      <c r="AR69" s="193">
        <f t="shared" si="25"/>
        <v>0</v>
      </c>
    </row>
    <row r="70" spans="1:44" x14ac:dyDescent="0.2">
      <c r="B70" s="2" t="str">
        <f>'project budget'!B70</f>
        <v>Syndication Consultant</v>
      </c>
      <c r="C70" s="269">
        <f>'project budget'!C70</f>
        <v>0</v>
      </c>
      <c r="D70" s="193" t="e">
        <f t="shared" si="22"/>
        <v>#DIV/0!</v>
      </c>
      <c r="E70" s="193" t="e">
        <f t="shared" si="23"/>
        <v>#DIV/0!</v>
      </c>
      <c r="F70" s="193" t="e">
        <f>D70/'rent summary'!$D$25</f>
        <v>#DIV/0!</v>
      </c>
      <c r="G70" s="620" t="e">
        <f>C70/rents!$R$105</f>
        <v>#DIV/0!</v>
      </c>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93">
        <f t="shared" si="24"/>
        <v>0</v>
      </c>
      <c r="AR70" s="193">
        <f t="shared" si="25"/>
        <v>0</v>
      </c>
    </row>
    <row r="71" spans="1:44" x14ac:dyDescent="0.2">
      <c r="B71" s="2" t="str">
        <f>'project budget'!B71</f>
        <v>Tax Opinion</v>
      </c>
      <c r="C71" s="269">
        <f>'project budget'!C71</f>
        <v>0</v>
      </c>
      <c r="D71" s="255" t="e">
        <f t="shared" si="22"/>
        <v>#DIV/0!</v>
      </c>
      <c r="E71" s="255" t="e">
        <f t="shared" si="23"/>
        <v>#DIV/0!</v>
      </c>
      <c r="F71" s="255" t="e">
        <f>D71/'rent summary'!$D$25</f>
        <v>#DIV/0!</v>
      </c>
      <c r="G71" s="620" t="e">
        <f>C71/rents!$R$105</f>
        <v>#DIV/0!</v>
      </c>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93">
        <f t="shared" si="24"/>
        <v>0</v>
      </c>
      <c r="AR71" s="193">
        <f t="shared" si="25"/>
        <v>0</v>
      </c>
    </row>
    <row r="72" spans="1:44" outlineLevel="1" x14ac:dyDescent="0.2">
      <c r="B72" s="316" t="str">
        <f>'project budget'!B72</f>
        <v>[Additional Field - Specify]</v>
      </c>
      <c r="C72" s="269">
        <f>'project budget'!C72</f>
        <v>0</v>
      </c>
      <c r="D72" s="255" t="e">
        <f t="shared" si="22"/>
        <v>#DIV/0!</v>
      </c>
      <c r="E72" s="255" t="e">
        <f t="shared" si="23"/>
        <v>#DIV/0!</v>
      </c>
      <c r="F72" s="255" t="e">
        <f>D72/'rent summary'!$D$25</f>
        <v>#DIV/0!</v>
      </c>
      <c r="G72" s="620" t="e">
        <f>C72/rents!$R$105</f>
        <v>#DIV/0!</v>
      </c>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93">
        <f t="shared" si="24"/>
        <v>0</v>
      </c>
      <c r="AR72" s="193">
        <f t="shared" si="25"/>
        <v>0</v>
      </c>
    </row>
    <row r="73" spans="1:44" outlineLevel="1" x14ac:dyDescent="0.2">
      <c r="B73" s="316" t="str">
        <f>'project budget'!B73</f>
        <v>[Additional Field - Specify]</v>
      </c>
      <c r="C73" s="269">
        <f>'project budget'!C73</f>
        <v>0</v>
      </c>
      <c r="D73" s="255" t="e">
        <f t="shared" si="22"/>
        <v>#DIV/0!</v>
      </c>
      <c r="E73" s="255" t="e">
        <f t="shared" si="23"/>
        <v>#DIV/0!</v>
      </c>
      <c r="F73" s="255" t="e">
        <f>D73/'rent summary'!$D$25</f>
        <v>#DIV/0!</v>
      </c>
      <c r="G73" s="620" t="e">
        <f>C73/rents!$R$105</f>
        <v>#DIV/0!</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93">
        <f t="shared" si="24"/>
        <v>0</v>
      </c>
      <c r="AR73" s="193">
        <f t="shared" si="25"/>
        <v>0</v>
      </c>
    </row>
    <row r="74" spans="1:44" outlineLevel="1" x14ac:dyDescent="0.2">
      <c r="B74" s="316" t="str">
        <f>'project budget'!B74</f>
        <v>[Additional Field - Specify]</v>
      </c>
      <c r="C74" s="269">
        <f>'project budget'!C74</f>
        <v>0</v>
      </c>
      <c r="D74" s="255" t="e">
        <f t="shared" si="22"/>
        <v>#DIV/0!</v>
      </c>
      <c r="E74" s="255" t="e">
        <f t="shared" si="23"/>
        <v>#DIV/0!</v>
      </c>
      <c r="F74" s="255" t="e">
        <f>D74/'rent summary'!$D$25</f>
        <v>#DIV/0!</v>
      </c>
      <c r="G74" s="620" t="e">
        <f>C74/rents!$R$105</f>
        <v>#DIV/0!</v>
      </c>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93">
        <f t="shared" si="24"/>
        <v>0</v>
      </c>
      <c r="AR74" s="193">
        <f t="shared" si="25"/>
        <v>0</v>
      </c>
    </row>
    <row r="75" spans="1:44" x14ac:dyDescent="0.2">
      <c r="A75" s="111"/>
      <c r="B75" s="318" t="s">
        <v>168</v>
      </c>
      <c r="C75" s="256">
        <f>SUM(C68:C74)</f>
        <v>0</v>
      </c>
      <c r="D75" s="256" t="e">
        <f>SUM(D68:D74)</f>
        <v>#DIV/0!</v>
      </c>
      <c r="E75" s="256" t="e">
        <f>SUM(E68:E74)</f>
        <v>#DIV/0!</v>
      </c>
      <c r="F75" s="253"/>
      <c r="G75" s="622"/>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row>
    <row r="76" spans="1:44" x14ac:dyDescent="0.2">
      <c r="B76" s="26" t="s">
        <v>169</v>
      </c>
      <c r="C76" s="201"/>
      <c r="D76" s="201"/>
      <c r="E76" s="201"/>
      <c r="F76" s="201"/>
      <c r="G76" s="625"/>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09"/>
      <c r="AL76" s="109"/>
      <c r="AM76" s="109"/>
      <c r="AN76" s="109"/>
      <c r="AO76" s="109"/>
      <c r="AP76" s="109"/>
      <c r="AQ76" s="109"/>
      <c r="AR76" s="109"/>
    </row>
    <row r="77" spans="1:44" x14ac:dyDescent="0.2">
      <c r="B77" s="2" t="str">
        <f>'project budget'!B77</f>
        <v>Developer's Fees</v>
      </c>
      <c r="C77" s="269">
        <f>'project budget'!C77</f>
        <v>0</v>
      </c>
      <c r="D77" s="193" t="e">
        <f t="shared" si="22"/>
        <v>#DIV/0!</v>
      </c>
      <c r="E77" s="193" t="e">
        <f t="shared" ref="E77:E82" si="26">C77*$E$2</f>
        <v>#DIV/0!</v>
      </c>
      <c r="F77" s="193" t="e">
        <f>D77/'rent summary'!$D$25</f>
        <v>#DIV/0!</v>
      </c>
      <c r="G77" s="620" t="e">
        <f>C77/rents!$R$105</f>
        <v>#DIV/0!</v>
      </c>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93">
        <f t="shared" ref="AQ77:AQ82" si="27">SUM(H77:AK77)</f>
        <v>0</v>
      </c>
      <c r="AR77" s="193">
        <f t="shared" ref="AR77:AR82" si="28">AQ77-C77</f>
        <v>0</v>
      </c>
    </row>
    <row r="78" spans="1:44" x14ac:dyDescent="0.2">
      <c r="B78" s="2" t="str">
        <f>'project budget'!B78</f>
        <v>Other Partnership Fees</v>
      </c>
      <c r="C78" s="269">
        <f>'project budget'!C78</f>
        <v>0</v>
      </c>
      <c r="D78" s="193" t="e">
        <f t="shared" si="22"/>
        <v>#DIV/0!</v>
      </c>
      <c r="E78" s="193" t="e">
        <f t="shared" si="26"/>
        <v>#DIV/0!</v>
      </c>
      <c r="F78" s="193" t="e">
        <f>D78/'rent summary'!$D$25</f>
        <v>#DIV/0!</v>
      </c>
      <c r="G78" s="620" t="e">
        <f>C78/rents!$R$105</f>
        <v>#DIV/0!</v>
      </c>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93">
        <f t="shared" si="27"/>
        <v>0</v>
      </c>
      <c r="AR78" s="193">
        <f t="shared" si="28"/>
        <v>0</v>
      </c>
    </row>
    <row r="79" spans="1:44" x14ac:dyDescent="0.2">
      <c r="B79" s="2" t="str">
        <f>'project budget'!B79</f>
        <v>Consultant Fees</v>
      </c>
      <c r="C79" s="269">
        <f>'project budget'!C79</f>
        <v>0</v>
      </c>
      <c r="D79" s="255" t="e">
        <f t="shared" si="22"/>
        <v>#DIV/0!</v>
      </c>
      <c r="E79" s="255" t="e">
        <f t="shared" si="26"/>
        <v>#DIV/0!</v>
      </c>
      <c r="F79" s="255" t="e">
        <f>D79/'rent summary'!$D$25</f>
        <v>#DIV/0!</v>
      </c>
      <c r="G79" s="620" t="e">
        <f>C79/rents!$R$105</f>
        <v>#DIV/0!</v>
      </c>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93">
        <f t="shared" si="27"/>
        <v>0</v>
      </c>
      <c r="AR79" s="193">
        <f t="shared" si="28"/>
        <v>0</v>
      </c>
    </row>
    <row r="80" spans="1:44" outlineLevel="1" x14ac:dyDescent="0.2">
      <c r="B80" s="316" t="str">
        <f>'project budget'!B80</f>
        <v>[Additional Field - Specify]</v>
      </c>
      <c r="C80" s="269">
        <f>'project budget'!C80</f>
        <v>0</v>
      </c>
      <c r="D80" s="255" t="e">
        <f t="shared" si="22"/>
        <v>#DIV/0!</v>
      </c>
      <c r="E80" s="255" t="e">
        <f t="shared" si="26"/>
        <v>#DIV/0!</v>
      </c>
      <c r="F80" s="255" t="e">
        <f>D80/'rent summary'!$D$25</f>
        <v>#DIV/0!</v>
      </c>
      <c r="G80" s="620" t="e">
        <f>C80/rents!$R$105</f>
        <v>#DIV/0!</v>
      </c>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93">
        <f t="shared" si="27"/>
        <v>0</v>
      </c>
      <c r="AR80" s="193">
        <f t="shared" si="28"/>
        <v>0</v>
      </c>
    </row>
    <row r="81" spans="1:46" outlineLevel="1" x14ac:dyDescent="0.2">
      <c r="B81" s="316" t="str">
        <f>'project budget'!B81</f>
        <v>[Additional Field - Specify]</v>
      </c>
      <c r="C81" s="269">
        <f>'project budget'!C81</f>
        <v>0</v>
      </c>
      <c r="D81" s="255" t="e">
        <f t="shared" si="22"/>
        <v>#DIV/0!</v>
      </c>
      <c r="E81" s="255" t="e">
        <f t="shared" si="26"/>
        <v>#DIV/0!</v>
      </c>
      <c r="F81" s="255" t="e">
        <f>D81/'rent summary'!$D$25</f>
        <v>#DIV/0!</v>
      </c>
      <c r="G81" s="620" t="e">
        <f>C81/rents!$R$105</f>
        <v>#DIV/0!</v>
      </c>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93">
        <f t="shared" si="27"/>
        <v>0</v>
      </c>
      <c r="AR81" s="193">
        <f t="shared" si="28"/>
        <v>0</v>
      </c>
    </row>
    <row r="82" spans="1:46" outlineLevel="1" x14ac:dyDescent="0.2">
      <c r="B82" s="316" t="str">
        <f>'project budget'!B82</f>
        <v>[Additional Field - Specify]</v>
      </c>
      <c r="C82" s="269">
        <f>'project budget'!C82</f>
        <v>0</v>
      </c>
      <c r="D82" s="255" t="e">
        <f t="shared" si="22"/>
        <v>#DIV/0!</v>
      </c>
      <c r="E82" s="255" t="e">
        <f t="shared" si="26"/>
        <v>#DIV/0!</v>
      </c>
      <c r="F82" s="255" t="e">
        <f>D82/'rent summary'!$D$25</f>
        <v>#DIV/0!</v>
      </c>
      <c r="G82" s="620" t="e">
        <f>C82/rents!$R$105</f>
        <v>#DIV/0!</v>
      </c>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93">
        <f t="shared" si="27"/>
        <v>0</v>
      </c>
      <c r="AR82" s="193">
        <f t="shared" si="28"/>
        <v>0</v>
      </c>
    </row>
    <row r="83" spans="1:46" x14ac:dyDescent="0.2">
      <c r="A83" s="111"/>
      <c r="B83" s="318" t="s">
        <v>173</v>
      </c>
      <c r="C83" s="256">
        <f>SUM(C77:C82)</f>
        <v>0</v>
      </c>
      <c r="D83" s="256" t="e">
        <f>SUM(D77:D82)</f>
        <v>#DIV/0!</v>
      </c>
      <c r="E83" s="256" t="e">
        <f>SUM(E77:E82)</f>
        <v>#DIV/0!</v>
      </c>
      <c r="F83" s="253"/>
      <c r="G83" s="622"/>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row>
    <row r="84" spans="1:46" x14ac:dyDescent="0.2">
      <c r="B84" s="26" t="s">
        <v>174</v>
      </c>
      <c r="C84" s="201"/>
      <c r="D84" s="201"/>
      <c r="E84" s="201"/>
      <c r="F84" s="201"/>
      <c r="G84" s="625"/>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row>
    <row r="85" spans="1:46" x14ac:dyDescent="0.2">
      <c r="B85" s="2" t="str">
        <f>'project budget'!B85</f>
        <v>Working Capital</v>
      </c>
      <c r="C85" s="269">
        <f>'project budget'!C85</f>
        <v>0</v>
      </c>
      <c r="D85" s="193" t="e">
        <f>C85*$D$2</f>
        <v>#DIV/0!</v>
      </c>
      <c r="E85" s="193" t="e">
        <f>C85*$E$2</f>
        <v>#DIV/0!</v>
      </c>
      <c r="F85" s="193" t="e">
        <f>D85/'rent summary'!$D$25</f>
        <v>#DIV/0!</v>
      </c>
      <c r="G85" s="620" t="e">
        <f>C85/rents!$R$105</f>
        <v>#DIV/0!</v>
      </c>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93">
        <f t="shared" ref="AQ85:AQ90" si="29">SUM(H85:AK85)</f>
        <v>0</v>
      </c>
      <c r="AR85" s="193">
        <f t="shared" ref="AR85:AR90" si="30">AQ85-C85</f>
        <v>0</v>
      </c>
      <c r="AS85" s="17"/>
    </row>
    <row r="86" spans="1:46" x14ac:dyDescent="0.2">
      <c r="B86" s="2" t="str">
        <f>'project budget'!B86</f>
        <v>Rent-up (Deficit Escrow) Reserve</v>
      </c>
      <c r="C86" s="269">
        <f>'project budget'!C86</f>
        <v>0</v>
      </c>
      <c r="D86" s="192" t="e">
        <f>C86*$D$2</f>
        <v>#DIV/0!</v>
      </c>
      <c r="E86" s="193" t="e">
        <f t="shared" ref="E86:E87" si="31">C86*$E$2</f>
        <v>#DIV/0!</v>
      </c>
      <c r="F86" s="193" t="e">
        <f>D86/'rent summary'!$D$25</f>
        <v>#DIV/0!</v>
      </c>
      <c r="G86" s="620" t="e">
        <f>C86/rents!$R$105</f>
        <v>#DIV/0!</v>
      </c>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93">
        <f t="shared" si="29"/>
        <v>0</v>
      </c>
      <c r="AR86" s="193">
        <f t="shared" si="30"/>
        <v>0</v>
      </c>
      <c r="AS86" s="17"/>
    </row>
    <row r="87" spans="1:46" x14ac:dyDescent="0.2">
      <c r="B87" s="2" t="str">
        <f>'project budget'!B87</f>
        <v>Operating Reserves</v>
      </c>
      <c r="C87" s="269">
        <f>'project budget'!C87</f>
        <v>0</v>
      </c>
      <c r="D87" s="193" t="e">
        <f t="shared" ref="D87:D88" si="32">C87*$D$2</f>
        <v>#DIV/0!</v>
      </c>
      <c r="E87" s="193" t="e">
        <f t="shared" si="31"/>
        <v>#DIV/0!</v>
      </c>
      <c r="F87" s="193" t="e">
        <f>D87/'rent summary'!$D$25</f>
        <v>#DIV/0!</v>
      </c>
      <c r="G87" s="620" t="e">
        <f>C87/rents!$R$105</f>
        <v>#DIV/0!</v>
      </c>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93">
        <f t="shared" si="29"/>
        <v>0</v>
      </c>
      <c r="AR87" s="193">
        <f t="shared" si="30"/>
        <v>0</v>
      </c>
      <c r="AS87" s="17"/>
    </row>
    <row r="88" spans="1:46" x14ac:dyDescent="0.2">
      <c r="B88" s="2" t="str">
        <f>'project budget'!B88</f>
        <v>Replacement Reserves</v>
      </c>
      <c r="C88" s="269">
        <f>'project budget'!C88</f>
        <v>0</v>
      </c>
      <c r="D88" s="255" t="e">
        <f t="shared" si="32"/>
        <v>#DIV/0!</v>
      </c>
      <c r="E88" s="193" t="e">
        <f>C88*$E$2</f>
        <v>#DIV/0!</v>
      </c>
      <c r="F88" s="255" t="e">
        <f>D88/'rent summary'!$D$25</f>
        <v>#DIV/0!</v>
      </c>
      <c r="G88" s="620" t="e">
        <f>C88/rents!$R$105</f>
        <v>#DIV/0!</v>
      </c>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93">
        <f t="shared" si="29"/>
        <v>0</v>
      </c>
      <c r="AR88" s="193">
        <f t="shared" si="30"/>
        <v>0</v>
      </c>
      <c r="AS88" s="17"/>
    </row>
    <row r="89" spans="1:46" outlineLevel="1" x14ac:dyDescent="0.2">
      <c r="B89" s="316" t="str">
        <f>'project budget'!B89</f>
        <v>[Additional Field - Specify]</v>
      </c>
      <c r="C89" s="269">
        <f>'project budget'!C89</f>
        <v>0</v>
      </c>
      <c r="D89" s="255" t="e">
        <f>C89*$D$2</f>
        <v>#DIV/0!</v>
      </c>
      <c r="E89" s="193" t="e">
        <f>C89*$E$2</f>
        <v>#DIV/0!</v>
      </c>
      <c r="F89" s="255" t="e">
        <f>D89/'rent summary'!$D$25</f>
        <v>#DIV/0!</v>
      </c>
      <c r="G89" s="620" t="e">
        <f>C89/rents!$R$105</f>
        <v>#DIV/0!</v>
      </c>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93">
        <f t="shared" si="29"/>
        <v>0</v>
      </c>
      <c r="AR89" s="193">
        <f t="shared" si="30"/>
        <v>0</v>
      </c>
      <c r="AS89" s="17"/>
    </row>
    <row r="90" spans="1:46" outlineLevel="1" x14ac:dyDescent="0.2">
      <c r="B90" s="316" t="str">
        <f>'project budget'!B90</f>
        <v>[Additional Field - Specify]</v>
      </c>
      <c r="C90" s="269">
        <f>'project budget'!C90</f>
        <v>0</v>
      </c>
      <c r="D90" s="255" t="e">
        <f>C90*$D$2</f>
        <v>#DIV/0!</v>
      </c>
      <c r="E90" s="193" t="e">
        <f>C90*$E$2</f>
        <v>#DIV/0!</v>
      </c>
      <c r="F90" s="255" t="e">
        <f>D90/'rent summary'!$D$25</f>
        <v>#DIV/0!</v>
      </c>
      <c r="G90" s="620" t="e">
        <f>C90/rents!$R$105</f>
        <v>#DIV/0!</v>
      </c>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93">
        <f t="shared" si="29"/>
        <v>0</v>
      </c>
      <c r="AR90" s="193">
        <f t="shared" si="30"/>
        <v>0</v>
      </c>
      <c r="AS90" s="17"/>
    </row>
    <row r="91" spans="1:46" x14ac:dyDescent="0.2">
      <c r="A91" s="111"/>
      <c r="B91" s="318" t="s">
        <v>179</v>
      </c>
      <c r="C91" s="270">
        <f>SUM(C85:C90)</f>
        <v>0</v>
      </c>
      <c r="D91" s="320" t="e">
        <f>SUM(D85:D90)</f>
        <v>#DIV/0!</v>
      </c>
      <c r="E91" s="320" t="e">
        <f>SUM(E85:E90)</f>
        <v>#DIV/0!</v>
      </c>
      <c r="F91" s="253"/>
      <c r="G91" s="626"/>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7"/>
    </row>
    <row r="92" spans="1:46" ht="15" thickBot="1" x14ac:dyDescent="0.25">
      <c r="A92" s="111"/>
      <c r="B92" s="27" t="s">
        <v>162</v>
      </c>
      <c r="C92" s="204">
        <f>C91+C83+C75+C66</f>
        <v>0</v>
      </c>
      <c r="D92" s="204" t="e">
        <f>D91+D83+D75+D66</f>
        <v>#DIV/0!</v>
      </c>
      <c r="E92" s="204" t="e">
        <f>E91+E83+E75+E66</f>
        <v>#DIV/0!</v>
      </c>
      <c r="F92" s="205" t="e">
        <f>D92/'rent summary'!$D$25</f>
        <v>#DIV/0!</v>
      </c>
      <c r="G92" s="627"/>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7"/>
    </row>
    <row r="93" spans="1:46" ht="15" thickTop="1" x14ac:dyDescent="0.2">
      <c r="A93" s="111"/>
      <c r="B93" s="13" t="s">
        <v>180</v>
      </c>
      <c r="C93" s="206">
        <f>C92+C33+C13</f>
        <v>0</v>
      </c>
      <c r="D93" s="206" t="e">
        <f>D92+D33+D13</f>
        <v>#DIV/0!</v>
      </c>
      <c r="E93" s="206" t="e">
        <f>E92+E33+E13</f>
        <v>#DIV/0!</v>
      </c>
      <c r="F93" s="206" t="e">
        <f>D93/'rent summary'!$D$25</f>
        <v>#DIV/0!</v>
      </c>
      <c r="G93" s="628" t="e">
        <f>C93/rents!$R$105</f>
        <v>#DIV/0!</v>
      </c>
      <c r="H93" s="210">
        <f>SUM(H5:H90)</f>
        <v>0</v>
      </c>
      <c r="I93" s="210">
        <f>SUM(I5:I90)</f>
        <v>0</v>
      </c>
      <c r="J93" s="210">
        <f t="shared" ref="J93:AK93" si="33">SUM(J5:J90)</f>
        <v>0</v>
      </c>
      <c r="K93" s="210">
        <f t="shared" si="33"/>
        <v>0</v>
      </c>
      <c r="L93" s="210">
        <f t="shared" si="33"/>
        <v>0</v>
      </c>
      <c r="M93" s="210">
        <f t="shared" si="33"/>
        <v>0</v>
      </c>
      <c r="N93" s="210">
        <f t="shared" si="33"/>
        <v>0</v>
      </c>
      <c r="O93" s="210">
        <f t="shared" si="33"/>
        <v>0</v>
      </c>
      <c r="P93" s="210">
        <f t="shared" si="33"/>
        <v>0</v>
      </c>
      <c r="Q93" s="210">
        <f t="shared" si="33"/>
        <v>0</v>
      </c>
      <c r="R93" s="210">
        <f t="shared" si="33"/>
        <v>0</v>
      </c>
      <c r="S93" s="210">
        <f t="shared" si="33"/>
        <v>0</v>
      </c>
      <c r="T93" s="210">
        <f t="shared" si="33"/>
        <v>0</v>
      </c>
      <c r="U93" s="210">
        <f t="shared" si="33"/>
        <v>0</v>
      </c>
      <c r="V93" s="210">
        <f t="shared" si="33"/>
        <v>0</v>
      </c>
      <c r="W93" s="210">
        <f t="shared" si="33"/>
        <v>0</v>
      </c>
      <c r="X93" s="210">
        <f t="shared" si="33"/>
        <v>0</v>
      </c>
      <c r="Y93" s="210">
        <f t="shared" si="33"/>
        <v>0</v>
      </c>
      <c r="Z93" s="210">
        <f t="shared" si="33"/>
        <v>0</v>
      </c>
      <c r="AA93" s="210">
        <f t="shared" si="33"/>
        <v>0</v>
      </c>
      <c r="AB93" s="210">
        <f t="shared" si="33"/>
        <v>0</v>
      </c>
      <c r="AC93" s="210">
        <f t="shared" si="33"/>
        <v>0</v>
      </c>
      <c r="AD93" s="210">
        <f t="shared" si="33"/>
        <v>0</v>
      </c>
      <c r="AE93" s="210">
        <f t="shared" si="33"/>
        <v>0</v>
      </c>
      <c r="AF93" s="210">
        <f t="shared" si="33"/>
        <v>0</v>
      </c>
      <c r="AG93" s="210">
        <f t="shared" si="33"/>
        <v>0</v>
      </c>
      <c r="AH93" s="210">
        <f t="shared" si="33"/>
        <v>0</v>
      </c>
      <c r="AI93" s="210">
        <f t="shared" si="33"/>
        <v>0</v>
      </c>
      <c r="AJ93" s="210">
        <f t="shared" si="33"/>
        <v>0</v>
      </c>
      <c r="AK93" s="210">
        <f t="shared" si="33"/>
        <v>0</v>
      </c>
      <c r="AL93" s="210">
        <f t="shared" ref="AL93:AO93" si="34">SUM(AL5:AL90)</f>
        <v>0</v>
      </c>
      <c r="AM93" s="210">
        <f t="shared" si="34"/>
        <v>0</v>
      </c>
      <c r="AN93" s="210">
        <f t="shared" si="34"/>
        <v>0</v>
      </c>
      <c r="AO93" s="210">
        <f t="shared" si="34"/>
        <v>0</v>
      </c>
      <c r="AP93" s="210">
        <f>SUM(AP5:AP90)</f>
        <v>0</v>
      </c>
      <c r="AQ93" s="210">
        <f t="shared" ref="AQ93" si="35">SUM(AQ5:AQ88)</f>
        <v>0</v>
      </c>
      <c r="AR93" s="201">
        <f>AQ93-C93</f>
        <v>0</v>
      </c>
      <c r="AS93" s="17"/>
    </row>
    <row r="94" spans="1:46" x14ac:dyDescent="0.2">
      <c r="H94" s="193">
        <f>H4-H93</f>
        <v>0</v>
      </c>
      <c r="I94" s="193">
        <f>I4-I93</f>
        <v>0</v>
      </c>
      <c r="J94" s="193">
        <f t="shared" ref="J94:AK94" si="36">J4-J93</f>
        <v>0</v>
      </c>
      <c r="K94" s="193">
        <f t="shared" si="36"/>
        <v>0</v>
      </c>
      <c r="L94" s="193">
        <f t="shared" si="36"/>
        <v>0</v>
      </c>
      <c r="M94" s="193">
        <f t="shared" si="36"/>
        <v>0</v>
      </c>
      <c r="N94" s="193">
        <f t="shared" si="36"/>
        <v>0</v>
      </c>
      <c r="O94" s="193">
        <f t="shared" si="36"/>
        <v>0</v>
      </c>
      <c r="P94" s="193">
        <f t="shared" si="36"/>
        <v>0</v>
      </c>
      <c r="Q94" s="193">
        <f t="shared" si="36"/>
        <v>0</v>
      </c>
      <c r="R94" s="193">
        <f t="shared" si="36"/>
        <v>0</v>
      </c>
      <c r="S94" s="193">
        <f t="shared" si="36"/>
        <v>0</v>
      </c>
      <c r="T94" s="193">
        <f t="shared" si="36"/>
        <v>0</v>
      </c>
      <c r="U94" s="193">
        <f t="shared" si="36"/>
        <v>0</v>
      </c>
      <c r="V94" s="193">
        <f t="shared" si="36"/>
        <v>0</v>
      </c>
      <c r="W94" s="193">
        <f t="shared" si="36"/>
        <v>0</v>
      </c>
      <c r="X94" s="193">
        <f t="shared" si="36"/>
        <v>0</v>
      </c>
      <c r="Y94" s="193">
        <f t="shared" si="36"/>
        <v>0</v>
      </c>
      <c r="Z94" s="193">
        <f t="shared" si="36"/>
        <v>0</v>
      </c>
      <c r="AA94" s="193">
        <f t="shared" si="36"/>
        <v>0</v>
      </c>
      <c r="AB94" s="193">
        <f t="shared" si="36"/>
        <v>0</v>
      </c>
      <c r="AC94" s="193">
        <f t="shared" si="36"/>
        <v>0</v>
      </c>
      <c r="AD94" s="193">
        <f t="shared" si="36"/>
        <v>0</v>
      </c>
      <c r="AE94" s="193">
        <f t="shared" si="36"/>
        <v>0</v>
      </c>
      <c r="AF94" s="193">
        <f t="shared" si="36"/>
        <v>0</v>
      </c>
      <c r="AG94" s="193">
        <f t="shared" si="36"/>
        <v>0</v>
      </c>
      <c r="AH94" s="193">
        <f t="shared" si="36"/>
        <v>0</v>
      </c>
      <c r="AI94" s="193">
        <f t="shared" si="36"/>
        <v>0</v>
      </c>
      <c r="AJ94" s="193">
        <f t="shared" si="36"/>
        <v>0</v>
      </c>
      <c r="AK94" s="193">
        <f t="shared" si="36"/>
        <v>0</v>
      </c>
      <c r="AL94" s="193">
        <f t="shared" ref="AL94:AO94" si="37">AL4-AL93</f>
        <v>0</v>
      </c>
      <c r="AM94" s="193">
        <f t="shared" si="37"/>
        <v>0</v>
      </c>
      <c r="AN94" s="193">
        <f t="shared" si="37"/>
        <v>0</v>
      </c>
      <c r="AO94" s="193">
        <f t="shared" si="37"/>
        <v>0</v>
      </c>
      <c r="AP94" s="193">
        <f>AP4-AP93</f>
        <v>0</v>
      </c>
      <c r="AQ94" s="193"/>
      <c r="AR94" s="193"/>
      <c r="AS94" s="17"/>
    </row>
    <row r="95" spans="1:46" x14ac:dyDescent="0.2">
      <c r="AS95" s="17"/>
      <c r="AT95" s="17"/>
    </row>
    <row r="96" spans="1:46" x14ac:dyDescent="0.2">
      <c r="B96" s="13" t="s">
        <v>188</v>
      </c>
      <c r="C96" s="103">
        <f>C93-C91-C83-C70</f>
        <v>0</v>
      </c>
    </row>
    <row r="97" spans="2:7" x14ac:dyDescent="0.2">
      <c r="B97" s="13" t="s">
        <v>189</v>
      </c>
      <c r="C97" s="504">
        <f>C83+C70</f>
        <v>0</v>
      </c>
    </row>
    <row r="99" spans="2:7" x14ac:dyDescent="0.2">
      <c r="B99" s="171" t="s">
        <v>191</v>
      </c>
      <c r="C99" s="171" t="s">
        <v>192</v>
      </c>
      <c r="D99" s="171"/>
    </row>
    <row r="100" spans="2:7" x14ac:dyDescent="0.2">
      <c r="B100" s="172" t="s">
        <v>175</v>
      </c>
      <c r="C100" s="517" t="e">
        <f>C85/expenses!C79</f>
        <v>#DIV/0!</v>
      </c>
      <c r="D100" s="172" t="s">
        <v>193</v>
      </c>
    </row>
    <row r="101" spans="2:7" x14ac:dyDescent="0.2">
      <c r="B101" s="1" t="s">
        <v>194</v>
      </c>
      <c r="C101" s="518" t="e">
        <f>C86/expenses!C79</f>
        <v>#DIV/0!</v>
      </c>
      <c r="D101" s="1" t="s">
        <v>193</v>
      </c>
    </row>
    <row r="102" spans="2:7" x14ac:dyDescent="0.2">
      <c r="B102" s="1" t="s">
        <v>195</v>
      </c>
      <c r="C102" s="518" t="e">
        <f>C87/expenses!C79</f>
        <v>#DIV/0!</v>
      </c>
      <c r="D102" s="1" t="s">
        <v>193</v>
      </c>
    </row>
    <row r="103" spans="2:7" x14ac:dyDescent="0.2">
      <c r="B103" s="173" t="s">
        <v>196</v>
      </c>
      <c r="C103" s="488" t="e">
        <f>C88/assumptions!B4</f>
        <v>#DIV/0!</v>
      </c>
      <c r="D103" s="503" t="e">
        <f>expenses!D77</f>
        <v>#DIV/0!</v>
      </c>
    </row>
    <row r="108" spans="2:7" x14ac:dyDescent="0.2">
      <c r="B108" s="17"/>
      <c r="C108" s="17"/>
      <c r="D108" s="17"/>
      <c r="E108" s="17"/>
      <c r="F108" s="17"/>
      <c r="G108" s="617"/>
    </row>
    <row r="176" spans="2:5" x14ac:dyDescent="0.2">
      <c r="B176" s="13"/>
      <c r="C176" s="13"/>
      <c r="D176" s="13"/>
      <c r="E176" s="13"/>
    </row>
    <row r="178" spans="2:42" x14ac:dyDescent="0.2">
      <c r="B178" s="13"/>
      <c r="C178" s="13"/>
      <c r="D178" s="13"/>
      <c r="E178" s="13"/>
      <c r="G178" s="629"/>
      <c r="H178" s="13"/>
      <c r="I178" s="13"/>
      <c r="J178" s="13"/>
      <c r="K178" s="13"/>
      <c r="L178" s="13"/>
      <c r="M178" s="13"/>
      <c r="N178" s="13"/>
      <c r="O178" s="13"/>
      <c r="P178" s="13"/>
      <c r="Q178" s="13"/>
      <c r="R178" s="13"/>
      <c r="S178" s="13"/>
      <c r="T178" s="13"/>
      <c r="U178" s="13"/>
    </row>
    <row r="179" spans="2:42" x14ac:dyDescent="0.2">
      <c r="C179" s="13"/>
      <c r="D179" s="13"/>
      <c r="E179" s="13"/>
      <c r="G179" s="629"/>
      <c r="H179" s="13"/>
      <c r="I179" s="13"/>
      <c r="J179" s="13"/>
      <c r="K179" s="13"/>
      <c r="L179" s="13"/>
      <c r="M179" s="13"/>
      <c r="N179" s="13"/>
      <c r="O179" s="13"/>
      <c r="P179" s="13"/>
      <c r="Q179" s="13"/>
      <c r="R179" s="13"/>
      <c r="S179" s="13"/>
      <c r="T179" s="13"/>
      <c r="U179" s="13"/>
    </row>
    <row r="180" spans="2:42" x14ac:dyDescent="0.2">
      <c r="C180" s="13"/>
      <c r="D180" s="13"/>
      <c r="E180" s="13"/>
      <c r="G180" s="629"/>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row>
    <row r="181" spans="2:42" x14ac:dyDescent="0.2">
      <c r="C181" s="13"/>
      <c r="D181" s="13"/>
      <c r="E181" s="13"/>
      <c r="G181" s="629"/>
      <c r="H181" s="13"/>
      <c r="I181" s="13"/>
      <c r="J181" s="13"/>
      <c r="K181" s="13"/>
      <c r="L181" s="13"/>
      <c r="M181" s="13"/>
      <c r="N181" s="13"/>
      <c r="O181" s="13"/>
      <c r="P181" s="13"/>
      <c r="Q181" s="13"/>
      <c r="R181" s="13"/>
      <c r="S181" s="13"/>
      <c r="T181" s="13"/>
      <c r="V181" s="13"/>
      <c r="W181" s="13"/>
      <c r="X181" s="13"/>
      <c r="Y181" s="13"/>
      <c r="Z181" s="13"/>
      <c r="AA181" s="13"/>
      <c r="AB181" s="13"/>
      <c r="AC181" s="13"/>
      <c r="AD181" s="13"/>
      <c r="AE181" s="13"/>
      <c r="AF181" s="13"/>
      <c r="AG181" s="13"/>
      <c r="AH181" s="13"/>
      <c r="AI181" s="13"/>
      <c r="AJ181" s="13"/>
      <c r="AK181" s="13"/>
      <c r="AL181" s="13"/>
      <c r="AM181" s="13"/>
      <c r="AN181" s="13"/>
      <c r="AO181" s="13"/>
      <c r="AP181" s="13"/>
    </row>
    <row r="182" spans="2:42" x14ac:dyDescent="0.2">
      <c r="C182" s="13"/>
      <c r="D182" s="13"/>
      <c r="E182" s="13"/>
      <c r="G182" s="629"/>
      <c r="H182" s="13"/>
      <c r="I182" s="13"/>
      <c r="J182" s="13"/>
      <c r="K182" s="13"/>
      <c r="L182" s="13"/>
      <c r="M182" s="13"/>
      <c r="N182" s="13"/>
      <c r="O182" s="13"/>
      <c r="P182" s="13"/>
      <c r="Q182" s="13"/>
      <c r="R182" s="13"/>
      <c r="S182" s="13"/>
      <c r="T182" s="13"/>
      <c r="V182" s="13"/>
      <c r="W182" s="13"/>
      <c r="X182" s="13"/>
      <c r="Y182" s="13"/>
      <c r="Z182" s="13"/>
      <c r="AA182" s="13"/>
      <c r="AB182" s="13"/>
      <c r="AC182" s="13"/>
      <c r="AD182" s="13"/>
      <c r="AE182" s="13"/>
      <c r="AF182" s="13"/>
      <c r="AG182" s="13"/>
      <c r="AH182" s="13"/>
      <c r="AI182" s="13"/>
      <c r="AJ182" s="13"/>
      <c r="AK182" s="13"/>
      <c r="AL182" s="13"/>
      <c r="AM182" s="13"/>
      <c r="AN182" s="13"/>
      <c r="AO182" s="13"/>
      <c r="AP182" s="13"/>
    </row>
    <row r="183" spans="2:42" x14ac:dyDescent="0.2">
      <c r="C183" s="13"/>
      <c r="D183" s="13"/>
      <c r="E183" s="13"/>
      <c r="G183" s="629"/>
      <c r="H183" s="13"/>
      <c r="I183" s="13"/>
      <c r="J183" s="13"/>
      <c r="K183" s="13"/>
      <c r="L183" s="13"/>
      <c r="M183" s="13"/>
      <c r="N183" s="13"/>
      <c r="O183" s="13"/>
      <c r="P183" s="13"/>
      <c r="Q183" s="13"/>
      <c r="R183" s="13"/>
      <c r="S183" s="13"/>
      <c r="T183" s="13"/>
      <c r="V183" s="13"/>
      <c r="W183" s="13"/>
      <c r="X183" s="13"/>
      <c r="Y183" s="13"/>
      <c r="Z183" s="13"/>
      <c r="AA183" s="13"/>
      <c r="AB183" s="13"/>
      <c r="AC183" s="13"/>
      <c r="AD183" s="13"/>
      <c r="AE183" s="13"/>
      <c r="AF183" s="13"/>
      <c r="AG183" s="13"/>
      <c r="AH183" s="13"/>
      <c r="AI183" s="13"/>
      <c r="AJ183" s="13"/>
      <c r="AK183" s="13"/>
      <c r="AL183" s="13"/>
      <c r="AM183" s="13"/>
      <c r="AN183" s="13"/>
      <c r="AO183" s="13"/>
      <c r="AP183" s="13"/>
    </row>
    <row r="184" spans="2:42" x14ac:dyDescent="0.2">
      <c r="C184" s="13"/>
      <c r="D184" s="13"/>
      <c r="E184" s="13"/>
      <c r="G184" s="629"/>
      <c r="H184" s="13"/>
      <c r="I184" s="13"/>
      <c r="J184" s="13"/>
      <c r="K184" s="13"/>
      <c r="L184" s="13"/>
      <c r="M184" s="13"/>
      <c r="N184" s="13"/>
      <c r="O184" s="13"/>
      <c r="P184" s="13"/>
      <c r="Q184" s="13"/>
      <c r="R184" s="13"/>
      <c r="S184" s="13"/>
      <c r="T184" s="13"/>
      <c r="V184" s="13"/>
      <c r="W184" s="13"/>
      <c r="X184" s="13"/>
      <c r="Y184" s="13"/>
      <c r="Z184" s="13"/>
      <c r="AA184" s="13"/>
      <c r="AB184" s="13"/>
      <c r="AC184" s="13"/>
      <c r="AD184" s="13"/>
      <c r="AE184" s="13"/>
      <c r="AF184" s="13"/>
      <c r="AG184" s="13"/>
      <c r="AH184" s="13"/>
      <c r="AI184" s="13"/>
      <c r="AJ184" s="13"/>
      <c r="AK184" s="13"/>
      <c r="AL184" s="13"/>
      <c r="AM184" s="13"/>
      <c r="AN184" s="13"/>
      <c r="AO184" s="13"/>
      <c r="AP184" s="13"/>
    </row>
    <row r="185" spans="2:42" x14ac:dyDescent="0.2">
      <c r="C185" s="13"/>
      <c r="D185" s="13"/>
      <c r="E185" s="13"/>
      <c r="G185" s="629"/>
      <c r="H185" s="13"/>
      <c r="I185" s="13"/>
      <c r="J185" s="13"/>
      <c r="K185" s="13"/>
      <c r="L185" s="13"/>
      <c r="M185" s="13"/>
      <c r="N185" s="13"/>
      <c r="O185" s="13"/>
      <c r="P185" s="13"/>
      <c r="Q185" s="13"/>
      <c r="R185" s="13"/>
      <c r="S185" s="13"/>
      <c r="T185" s="13"/>
      <c r="V185" s="13"/>
      <c r="W185" s="13"/>
      <c r="X185" s="13"/>
      <c r="Y185" s="13"/>
      <c r="Z185" s="13"/>
      <c r="AA185" s="13"/>
      <c r="AB185" s="13"/>
      <c r="AC185" s="13"/>
      <c r="AD185" s="13"/>
      <c r="AE185" s="13"/>
      <c r="AF185" s="13"/>
      <c r="AG185" s="13"/>
      <c r="AH185" s="13"/>
      <c r="AI185" s="13"/>
      <c r="AJ185" s="13"/>
      <c r="AK185" s="13"/>
      <c r="AL185" s="13"/>
      <c r="AM185" s="13"/>
      <c r="AN185" s="13"/>
      <c r="AO185" s="13"/>
      <c r="AP185" s="13"/>
    </row>
  </sheetData>
  <sheetProtection algorithmName="SHA-512" hashValue="+XHIHgigUXCC6P8UBeeMlxt/EV39nlskE2MVcuzoCI5ohmu5g+diHIoRacwOSh/YohaGHOgTZtx6HKPivs8/lw==" saltValue="cxf7PAriPvO2n7MdxsMNdA==" spinCount="100000" sheet="1" formatCells="0" formatColumns="0" formatRows="0"/>
  <dataConsolidate/>
  <customSheetViews>
    <customSheetView guid="{CA59FD88-8CCB-11D1-BF5F-0000C0DA655A}" scale="65" showRuler="0">
      <pageMargins left="0" right="0" top="0" bottom="0" header="0" footer="0"/>
      <printOptions gridLines="1"/>
      <pageSetup orientation="portrait" horizontalDpi="300" verticalDpi="300" r:id="rId1"/>
      <headerFooter alignWithMargins="0"/>
    </customSheetView>
  </customSheetViews>
  <phoneticPr fontId="0" type="noConversion"/>
  <pageMargins left="0.75" right="0.75" top="1" bottom="1" header="0.5" footer="0.5"/>
  <pageSetup scale="40" orientation="landscape" r:id="rId2"/>
  <headerFooter alignWithMargins="0">
    <oddFooter>&amp;L&amp;F
&amp;D&amp;T&amp;R&amp;"Times New Roman,Regular"&amp;8revision date:  8/6/2007</oddFooter>
  </headerFooter>
  <ignoredErrors>
    <ignoredError sqref="D5:G11 D15:G15 D19 F19:G19 D20:G32 F66:G66 E68:G74 D77:G82 D34 G13 D36:G36 D18:G18 E17 G17 E12:G12 D16 F16:G16 C100:C101" evalError="1"/>
    <ignoredError sqref="R3" unlockedFormula="1"/>
    <ignoredError sqref="D68:D74" evalError="1" unlockedFormula="1"/>
  </ignoredErrors>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F15A7-78A1-46A3-BF4B-32E02DEEB639}">
  <sheetPr>
    <pageSetUpPr fitToPage="1"/>
  </sheetPr>
  <dimension ref="A1:AG111"/>
  <sheetViews>
    <sheetView zoomScaleNormal="100" workbookViewId="0">
      <pane xSplit="2" ySplit="3" topLeftCell="Y89" activePane="bottomRight" state="frozen"/>
      <selection pane="topRight" activeCell="C1" sqref="C1"/>
      <selection pane="bottomLeft" activeCell="A4" sqref="A4"/>
      <selection pane="bottomRight" activeCell="A102" sqref="A102:XFD102"/>
    </sheetView>
  </sheetViews>
  <sheetFormatPr defaultColWidth="8.88671875" defaultRowHeight="14.25" outlineLevelRow="2" outlineLevelCol="1" x14ac:dyDescent="0.2"/>
  <cols>
    <col min="1" max="1" width="7.5546875" style="12" customWidth="1"/>
    <col min="2" max="2" width="35.77734375" style="12" bestFit="1" customWidth="1"/>
    <col min="3" max="3" width="10.77734375" style="12" customWidth="1"/>
    <col min="4" max="4" width="11.109375" style="12" bestFit="1" customWidth="1"/>
    <col min="5" max="5" width="12.109375" style="12" bestFit="1" customWidth="1"/>
    <col min="6" max="6" width="11.109375" style="12" customWidth="1"/>
    <col min="7" max="7" width="12.109375" style="12" customWidth="1"/>
    <col min="8" max="8" width="11.109375" style="12" customWidth="1" outlineLevel="1"/>
    <col min="9" max="9" width="12.109375" style="12" customWidth="1" outlineLevel="1"/>
    <col min="10" max="10" width="11.109375" style="12" customWidth="1" outlineLevel="1"/>
    <col min="11" max="11" width="12.109375" style="12" customWidth="1" outlineLevel="1"/>
    <col min="12" max="12" width="11.109375" style="12" customWidth="1" outlineLevel="1"/>
    <col min="13" max="13" width="12.109375" style="12" customWidth="1" outlineLevel="1"/>
    <col min="14" max="14" width="11.109375" style="12" customWidth="1" outlineLevel="1"/>
    <col min="15" max="15" width="12.109375" style="12" customWidth="1" outlineLevel="1"/>
    <col min="16" max="16" width="11.109375" style="12" customWidth="1" outlineLevel="1"/>
    <col min="17" max="17" width="12.109375" style="12" customWidth="1" outlineLevel="1"/>
    <col min="18" max="18" width="11.109375" style="12" customWidth="1" outlineLevel="1"/>
    <col min="19" max="19" width="12.109375" style="12" customWidth="1" outlineLevel="1"/>
    <col min="20" max="20" width="11.109375" style="12" customWidth="1" outlineLevel="1"/>
    <col min="21" max="21" width="12.109375" style="12" customWidth="1" outlineLevel="1"/>
    <col min="22" max="22" width="13.44140625" style="12" customWidth="1" outlineLevel="1"/>
    <col min="23" max="23" width="14.5546875" style="12" customWidth="1" outlineLevel="1"/>
    <col min="24" max="24" width="13.44140625" style="12" customWidth="1" outlineLevel="1"/>
    <col min="25" max="25" width="14.5546875" style="12" customWidth="1" outlineLevel="1"/>
    <col min="26" max="26" width="15.5546875" style="12" customWidth="1"/>
    <col min="27" max="27" width="13.21875" style="12" bestFit="1" customWidth="1"/>
    <col min="28" max="29" width="11.44140625" style="12" customWidth="1"/>
    <col min="30" max="30" width="11.21875" style="12" customWidth="1" outlineLevel="1"/>
    <col min="31" max="31" width="12.109375" style="12" customWidth="1"/>
    <col min="32" max="16384" width="8.88671875" style="12"/>
  </cols>
  <sheetData>
    <row r="1" spans="1:31" ht="15.75" thickBot="1" x14ac:dyDescent="0.3">
      <c r="A1" s="199" t="str">
        <f>assumptions!B2</f>
        <v>enter date</v>
      </c>
      <c r="B1" s="200" t="str">
        <f>assumptions!B1</f>
        <v>enter project name</v>
      </c>
      <c r="C1" s="28"/>
      <c r="D1" s="28"/>
      <c r="E1" s="28"/>
      <c r="F1" s="18"/>
      <c r="G1" s="18"/>
      <c r="H1" s="18"/>
      <c r="I1" s="18"/>
      <c r="J1" s="18"/>
      <c r="K1" s="18"/>
      <c r="L1" s="18"/>
      <c r="M1" s="18"/>
      <c r="N1" s="18"/>
      <c r="O1" s="18"/>
      <c r="P1" s="18"/>
      <c r="Q1" s="18"/>
      <c r="R1" s="18"/>
      <c r="S1" s="18"/>
      <c r="T1" s="18"/>
      <c r="U1" s="18"/>
      <c r="V1" s="18"/>
      <c r="W1" s="18"/>
      <c r="X1" s="18"/>
      <c r="Y1" s="18"/>
      <c r="Z1" s="309" t="s">
        <v>103</v>
      </c>
      <c r="AA1" s="18"/>
      <c r="AB1" s="18"/>
      <c r="AC1" s="18"/>
      <c r="AD1" s="18"/>
      <c r="AE1" s="18"/>
    </row>
    <row r="2" spans="1:31" ht="15.75" thickTop="1" x14ac:dyDescent="0.25">
      <c r="A2" s="199"/>
      <c r="B2" s="312"/>
      <c r="C2" s="275"/>
      <c r="D2" s="521" t="s">
        <v>197</v>
      </c>
      <c r="E2" s="521"/>
      <c r="F2" s="522" t="s">
        <v>106</v>
      </c>
      <c r="G2" s="522"/>
      <c r="H2" s="522" t="s">
        <v>107</v>
      </c>
      <c r="I2" s="522"/>
      <c r="J2" s="522" t="s">
        <v>108</v>
      </c>
      <c r="K2" s="522"/>
      <c r="L2" s="522" t="s">
        <v>109</v>
      </c>
      <c r="M2" s="522"/>
      <c r="N2" s="522" t="s">
        <v>110</v>
      </c>
      <c r="O2" s="522"/>
      <c r="P2" s="522" t="s">
        <v>111</v>
      </c>
      <c r="Q2" s="522"/>
      <c r="R2" s="522" t="s">
        <v>112</v>
      </c>
      <c r="S2" s="522"/>
      <c r="T2" s="522" t="s">
        <v>113</v>
      </c>
      <c r="U2" s="522"/>
      <c r="V2" s="522" t="s">
        <v>114</v>
      </c>
      <c r="W2" s="522"/>
      <c r="X2" s="522" t="s">
        <v>115</v>
      </c>
      <c r="Y2" s="522"/>
    </row>
    <row r="3" spans="1:31" ht="25.5" x14ac:dyDescent="0.2">
      <c r="C3" s="465" t="str">
        <f>'sources-uses'!C3</f>
        <v>Total Budget</v>
      </c>
      <c r="D3" s="465" t="s">
        <v>198</v>
      </c>
      <c r="E3" s="465" t="s">
        <v>199</v>
      </c>
      <c r="F3" s="466" t="s">
        <v>198</v>
      </c>
      <c r="G3" s="466" t="s">
        <v>199</v>
      </c>
      <c r="H3" s="466" t="s">
        <v>198</v>
      </c>
      <c r="I3" s="466" t="s">
        <v>199</v>
      </c>
      <c r="J3" s="466" t="s">
        <v>198</v>
      </c>
      <c r="K3" s="466" t="s">
        <v>199</v>
      </c>
      <c r="L3" s="466" t="s">
        <v>198</v>
      </c>
      <c r="M3" s="466" t="s">
        <v>199</v>
      </c>
      <c r="N3" s="466" t="s">
        <v>198</v>
      </c>
      <c r="O3" s="466" t="s">
        <v>199</v>
      </c>
      <c r="P3" s="466" t="s">
        <v>198</v>
      </c>
      <c r="Q3" s="466" t="s">
        <v>199</v>
      </c>
      <c r="R3" s="466" t="s">
        <v>198</v>
      </c>
      <c r="S3" s="466" t="s">
        <v>199</v>
      </c>
      <c r="T3" s="466" t="s">
        <v>198</v>
      </c>
      <c r="U3" s="466" t="s">
        <v>199</v>
      </c>
      <c r="V3" s="466" t="s">
        <v>198</v>
      </c>
      <c r="W3" s="466" t="s">
        <v>199</v>
      </c>
      <c r="X3" s="466" t="s">
        <v>198</v>
      </c>
      <c r="Y3" s="466" t="s">
        <v>199</v>
      </c>
      <c r="Z3" s="466" t="s">
        <v>200</v>
      </c>
      <c r="AA3" s="466" t="s">
        <v>201</v>
      </c>
      <c r="AB3" s="478" t="s">
        <v>202</v>
      </c>
      <c r="AC3" s="479" t="s">
        <v>203</v>
      </c>
      <c r="AD3" s="479" t="s">
        <v>204</v>
      </c>
      <c r="AE3" s="466" t="s">
        <v>205</v>
      </c>
    </row>
    <row r="4" spans="1:31" s="22" customFormat="1" x14ac:dyDescent="0.2">
      <c r="B4" s="457" t="str">
        <f>'sources-uses'!B4</f>
        <v>ACQUISITION</v>
      </c>
      <c r="C4" s="276"/>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row>
    <row r="5" spans="1:31" x14ac:dyDescent="0.2">
      <c r="A5" s="481"/>
      <c r="B5" s="2" t="str">
        <f>'sources-uses'!B5</f>
        <v>Land</v>
      </c>
      <c r="C5" s="193">
        <f>'project budget'!C5</f>
        <v>0</v>
      </c>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14">
        <v>0</v>
      </c>
      <c r="AE5" s="14">
        <f>C5</f>
        <v>0</v>
      </c>
    </row>
    <row r="6" spans="1:31" x14ac:dyDescent="0.2">
      <c r="A6" s="481"/>
      <c r="B6" s="2" t="str">
        <f>'sources-uses'!B6</f>
        <v>Purchase of Building</v>
      </c>
      <c r="C6" s="193">
        <f>'project budget'!C6</f>
        <v>0</v>
      </c>
      <c r="D6" s="14">
        <f>SUM(F6:Y6)</f>
        <v>0</v>
      </c>
      <c r="E6" s="323"/>
      <c r="F6" s="14">
        <f>'project budget'!D6</f>
        <v>0</v>
      </c>
      <c r="G6" s="323"/>
      <c r="H6" s="14">
        <f>'project budget'!$E$6</f>
        <v>0</v>
      </c>
      <c r="I6" s="323"/>
      <c r="J6" s="14">
        <f>'project budget'!$F6</f>
        <v>0</v>
      </c>
      <c r="K6" s="323"/>
      <c r="L6" s="14">
        <f>'project budget'!$G6</f>
        <v>0</v>
      </c>
      <c r="M6" s="323"/>
      <c r="N6" s="14">
        <f>'project budget'!$H6</f>
        <v>0</v>
      </c>
      <c r="O6" s="323"/>
      <c r="P6" s="14">
        <f>'project budget'!$I6</f>
        <v>0</v>
      </c>
      <c r="Q6" s="323"/>
      <c r="R6" s="14">
        <f>'project budget'!$J6</f>
        <v>0</v>
      </c>
      <c r="S6" s="323"/>
      <c r="T6" s="14">
        <f>'project budget'!$K6</f>
        <v>0</v>
      </c>
      <c r="U6" s="323"/>
      <c r="V6" s="14">
        <f>'project budget'!$L6</f>
        <v>0</v>
      </c>
      <c r="W6" s="323"/>
      <c r="X6" s="14">
        <f>'project budget'!$M6</f>
        <v>0</v>
      </c>
      <c r="Y6" s="323"/>
      <c r="Z6" s="14">
        <f>$C6</f>
        <v>0</v>
      </c>
      <c r="AA6" s="14">
        <f t="shared" ref="Z6:AA12" si="0">$C6</f>
        <v>0</v>
      </c>
      <c r="AB6" s="323"/>
      <c r="AC6" s="323"/>
      <c r="AD6" s="14">
        <v>0</v>
      </c>
      <c r="AE6" s="14">
        <f t="shared" ref="AE6:AE12" si="1">C6</f>
        <v>0</v>
      </c>
    </row>
    <row r="7" spans="1:31" x14ac:dyDescent="0.2">
      <c r="A7" s="481"/>
      <c r="B7" s="219" t="str">
        <f>'sources-uses'!B7</f>
        <v>Demolition (without replacement)</v>
      </c>
      <c r="C7" s="193">
        <f>'project budget'!C7</f>
        <v>0</v>
      </c>
      <c r="D7" s="323"/>
      <c r="E7" s="323"/>
      <c r="F7" s="323"/>
      <c r="G7" s="323"/>
      <c r="H7" s="323"/>
      <c r="I7" s="323"/>
      <c r="J7" s="323"/>
      <c r="K7" s="323"/>
      <c r="L7" s="323"/>
      <c r="M7" s="323"/>
      <c r="N7" s="323"/>
      <c r="O7" s="323"/>
      <c r="P7" s="323"/>
      <c r="Q7" s="323"/>
      <c r="R7" s="323"/>
      <c r="S7" s="323"/>
      <c r="T7" s="323"/>
      <c r="U7" s="323"/>
      <c r="V7" s="323"/>
      <c r="W7" s="323"/>
      <c r="X7" s="323"/>
      <c r="Y7" s="323"/>
      <c r="Z7" s="14">
        <f t="shared" si="0"/>
        <v>0</v>
      </c>
      <c r="AA7" s="14">
        <f t="shared" si="0"/>
        <v>0</v>
      </c>
      <c r="AB7" s="323"/>
      <c r="AC7" s="323"/>
      <c r="AD7" s="14">
        <v>0</v>
      </c>
      <c r="AE7" s="14">
        <f t="shared" si="1"/>
        <v>0</v>
      </c>
    </row>
    <row r="8" spans="1:31" x14ac:dyDescent="0.2">
      <c r="A8" s="481"/>
      <c r="B8" s="219" t="str">
        <f>'sources-uses'!B8</f>
        <v>Appraisal</v>
      </c>
      <c r="C8" s="193">
        <f>'project budget'!C8</f>
        <v>0</v>
      </c>
      <c r="D8" s="14">
        <f>SUM(F8:Y8)</f>
        <v>0</v>
      </c>
      <c r="E8" s="323"/>
      <c r="F8" s="14">
        <f>'project budget'!$D8</f>
        <v>0</v>
      </c>
      <c r="G8" s="323"/>
      <c r="H8" s="14">
        <f>'project budget'!$E8</f>
        <v>0</v>
      </c>
      <c r="I8" s="323"/>
      <c r="J8" s="14">
        <f>'project budget'!$F8</f>
        <v>0</v>
      </c>
      <c r="K8" s="323"/>
      <c r="L8" s="14">
        <f>'project budget'!$G8</f>
        <v>0</v>
      </c>
      <c r="M8" s="323"/>
      <c r="N8" s="14">
        <f>'project budget'!$H8</f>
        <v>0</v>
      </c>
      <c r="O8" s="323"/>
      <c r="P8" s="14">
        <f>'project budget'!$I8</f>
        <v>0</v>
      </c>
      <c r="Q8" s="323"/>
      <c r="R8" s="14">
        <f>'project budget'!$J8</f>
        <v>0</v>
      </c>
      <c r="S8" s="323"/>
      <c r="T8" s="14">
        <f>'project budget'!$K8</f>
        <v>0</v>
      </c>
      <c r="U8" s="323"/>
      <c r="V8" s="14">
        <f>'project budget'!$L8</f>
        <v>0</v>
      </c>
      <c r="W8" s="323"/>
      <c r="X8" s="14">
        <f>'project budget'!$M8</f>
        <v>0</v>
      </c>
      <c r="Y8" s="323"/>
      <c r="Z8" s="14">
        <f t="shared" si="0"/>
        <v>0</v>
      </c>
      <c r="AA8" s="14">
        <f t="shared" si="0"/>
        <v>0</v>
      </c>
      <c r="AB8" s="323"/>
      <c r="AC8" s="323"/>
      <c r="AD8" s="14">
        <v>0</v>
      </c>
      <c r="AE8" s="14">
        <f t="shared" si="1"/>
        <v>0</v>
      </c>
    </row>
    <row r="9" spans="1:31" x14ac:dyDescent="0.2">
      <c r="A9" s="481"/>
      <c r="B9" s="2" t="str">
        <f>'sources-uses'!B9</f>
        <v>Legal - Title and Recording</v>
      </c>
      <c r="C9" s="255">
        <f>'project budget'!C9</f>
        <v>0</v>
      </c>
      <c r="D9" s="14">
        <f>SUM(F9:Y9)</f>
        <v>0</v>
      </c>
      <c r="E9" s="327"/>
      <c r="F9" s="14">
        <f>'project budget'!$D9</f>
        <v>0</v>
      </c>
      <c r="G9" s="327"/>
      <c r="H9" s="14">
        <f>'project budget'!$E9</f>
        <v>0</v>
      </c>
      <c r="I9" s="327"/>
      <c r="J9" s="254">
        <f>'project budget'!$F9</f>
        <v>0</v>
      </c>
      <c r="K9" s="327"/>
      <c r="L9" s="14">
        <f>'project budget'!$G9</f>
        <v>0</v>
      </c>
      <c r="M9" s="327"/>
      <c r="N9" s="14">
        <f>'project budget'!$H9</f>
        <v>0</v>
      </c>
      <c r="O9" s="327"/>
      <c r="P9" s="14">
        <f>'project budget'!$I9</f>
        <v>0</v>
      </c>
      <c r="Q9" s="327"/>
      <c r="R9" s="14">
        <f>'project budget'!$J9</f>
        <v>0</v>
      </c>
      <c r="S9" s="327"/>
      <c r="T9" s="14">
        <f>'project budget'!$K9</f>
        <v>0</v>
      </c>
      <c r="U9" s="327"/>
      <c r="V9" s="254">
        <f>'project budget'!$L9</f>
        <v>0</v>
      </c>
      <c r="W9" s="327"/>
      <c r="X9" s="254">
        <f>'project budget'!$M9</f>
        <v>0</v>
      </c>
      <c r="Y9" s="327"/>
      <c r="Z9" s="14">
        <f t="shared" si="0"/>
        <v>0</v>
      </c>
      <c r="AA9" s="14">
        <f t="shared" si="0"/>
        <v>0</v>
      </c>
      <c r="AB9" s="327"/>
      <c r="AC9" s="327"/>
      <c r="AD9" s="254">
        <v>0</v>
      </c>
      <c r="AE9" s="14">
        <f t="shared" si="1"/>
        <v>0</v>
      </c>
    </row>
    <row r="10" spans="1:31" outlineLevel="1" x14ac:dyDescent="0.2">
      <c r="A10" s="481"/>
      <c r="B10" s="316" t="str">
        <f>'sources-uses'!B10</f>
        <v>[Additional Field - Specify]</v>
      </c>
      <c r="C10" s="255">
        <f>'project budget'!C10</f>
        <v>0</v>
      </c>
      <c r="D10" s="14">
        <f>SUM(F10:Y10)</f>
        <v>0</v>
      </c>
      <c r="E10" s="327"/>
      <c r="F10" s="14">
        <f>'project budget'!$D10</f>
        <v>0</v>
      </c>
      <c r="G10" s="327"/>
      <c r="H10" s="14">
        <f>'project budget'!$E10</f>
        <v>0</v>
      </c>
      <c r="I10" s="327"/>
      <c r="J10" s="254">
        <f>'project budget'!$F10</f>
        <v>0</v>
      </c>
      <c r="K10" s="327"/>
      <c r="L10" s="14">
        <f>'project budget'!$G10</f>
        <v>0</v>
      </c>
      <c r="M10" s="327"/>
      <c r="N10" s="14">
        <f>'project budget'!$H10</f>
        <v>0</v>
      </c>
      <c r="O10" s="327"/>
      <c r="P10" s="14">
        <f>'project budget'!$I10</f>
        <v>0</v>
      </c>
      <c r="Q10" s="327"/>
      <c r="R10" s="14">
        <f>'project budget'!$J10</f>
        <v>0</v>
      </c>
      <c r="S10" s="327"/>
      <c r="T10" s="14">
        <f>'project budget'!$K10</f>
        <v>0</v>
      </c>
      <c r="U10" s="327"/>
      <c r="V10" s="254">
        <f>'project budget'!$L10</f>
        <v>0</v>
      </c>
      <c r="W10" s="327"/>
      <c r="X10" s="254">
        <f>'project budget'!$M10</f>
        <v>0</v>
      </c>
      <c r="Y10" s="327"/>
      <c r="Z10" s="14">
        <f t="shared" si="0"/>
        <v>0</v>
      </c>
      <c r="AA10" s="14">
        <f t="shared" si="0"/>
        <v>0</v>
      </c>
      <c r="AB10" s="327"/>
      <c r="AC10" s="327"/>
      <c r="AD10" s="254">
        <v>0</v>
      </c>
      <c r="AE10" s="14">
        <f t="shared" si="1"/>
        <v>0</v>
      </c>
    </row>
    <row r="11" spans="1:31" outlineLevel="1" x14ac:dyDescent="0.2">
      <c r="A11" s="481"/>
      <c r="B11" s="316" t="str">
        <f>'sources-uses'!B11</f>
        <v>[Additional Field - Specify]</v>
      </c>
      <c r="C11" s="255">
        <f>'project budget'!C11</f>
        <v>0</v>
      </c>
      <c r="D11" s="14">
        <f>SUM(F11:Y11)</f>
        <v>0</v>
      </c>
      <c r="E11" s="327"/>
      <c r="F11" s="14">
        <f>'project budget'!$D11</f>
        <v>0</v>
      </c>
      <c r="G11" s="327"/>
      <c r="H11" s="14">
        <f>'project budget'!$E11</f>
        <v>0</v>
      </c>
      <c r="I11" s="327"/>
      <c r="J11" s="254">
        <f>'project budget'!$F11</f>
        <v>0</v>
      </c>
      <c r="K11" s="327"/>
      <c r="L11" s="14">
        <f>'project budget'!$G11</f>
        <v>0</v>
      </c>
      <c r="M11" s="327"/>
      <c r="N11" s="14">
        <f>'project budget'!$H11</f>
        <v>0</v>
      </c>
      <c r="O11" s="327"/>
      <c r="P11" s="14">
        <f>'project budget'!$I11</f>
        <v>0</v>
      </c>
      <c r="Q11" s="327"/>
      <c r="R11" s="14">
        <f>'project budget'!$J11</f>
        <v>0</v>
      </c>
      <c r="S11" s="327"/>
      <c r="T11" s="14">
        <f>'project budget'!$K11</f>
        <v>0</v>
      </c>
      <c r="U11" s="327"/>
      <c r="V11" s="254">
        <f>'project budget'!$L11</f>
        <v>0</v>
      </c>
      <c r="W11" s="327"/>
      <c r="X11" s="254">
        <f>'project budget'!$M11</f>
        <v>0</v>
      </c>
      <c r="Y11" s="327"/>
      <c r="Z11" s="14">
        <f t="shared" si="0"/>
        <v>0</v>
      </c>
      <c r="AA11" s="14">
        <f t="shared" si="0"/>
        <v>0</v>
      </c>
      <c r="AB11" s="327"/>
      <c r="AC11" s="327"/>
      <c r="AD11" s="254">
        <v>0</v>
      </c>
      <c r="AE11" s="14">
        <f t="shared" si="1"/>
        <v>0</v>
      </c>
    </row>
    <row r="12" spans="1:31" outlineLevel="1" x14ac:dyDescent="0.2">
      <c r="A12" s="481"/>
      <c r="B12" s="316" t="str">
        <f>'sources-uses'!B12</f>
        <v>[Additional Field - Specify]</v>
      </c>
      <c r="C12" s="255">
        <f>'project budget'!C12</f>
        <v>0</v>
      </c>
      <c r="D12" s="14">
        <f>SUM(F12:Y12)</f>
        <v>0</v>
      </c>
      <c r="E12" s="327"/>
      <c r="F12" s="14">
        <f>'project budget'!$D12</f>
        <v>0</v>
      </c>
      <c r="G12" s="327"/>
      <c r="H12" s="14">
        <f>'project budget'!$E12</f>
        <v>0</v>
      </c>
      <c r="I12" s="327"/>
      <c r="J12" s="254">
        <f>'project budget'!$F12</f>
        <v>0</v>
      </c>
      <c r="K12" s="327"/>
      <c r="L12" s="14">
        <f>'project budget'!$G12</f>
        <v>0</v>
      </c>
      <c r="M12" s="327"/>
      <c r="N12" s="14">
        <f>'project budget'!$H12</f>
        <v>0</v>
      </c>
      <c r="O12" s="327"/>
      <c r="P12" s="14">
        <f>'project budget'!$I12</f>
        <v>0</v>
      </c>
      <c r="Q12" s="327"/>
      <c r="R12" s="14">
        <f>'project budget'!$J12</f>
        <v>0</v>
      </c>
      <c r="S12" s="327"/>
      <c r="T12" s="14">
        <f>'project budget'!$K12</f>
        <v>0</v>
      </c>
      <c r="U12" s="327"/>
      <c r="V12" s="254">
        <f>'project budget'!$L12</f>
        <v>0</v>
      </c>
      <c r="W12" s="327"/>
      <c r="X12" s="254">
        <f>'project budget'!$M12</f>
        <v>0</v>
      </c>
      <c r="Y12" s="327"/>
      <c r="Z12" s="14">
        <f t="shared" si="0"/>
        <v>0</v>
      </c>
      <c r="AA12" s="14">
        <f t="shared" si="0"/>
        <v>0</v>
      </c>
      <c r="AB12" s="327"/>
      <c r="AC12" s="327"/>
      <c r="AD12" s="254">
        <v>0</v>
      </c>
      <c r="AE12" s="14">
        <f t="shared" si="1"/>
        <v>0</v>
      </c>
    </row>
    <row r="13" spans="1:31" x14ac:dyDescent="0.2">
      <c r="A13" s="481"/>
      <c r="B13" s="3" t="str">
        <f>'sources-uses'!B13</f>
        <v>Subtotal - Acquisition</v>
      </c>
      <c r="C13" s="321">
        <f>'sources-uses'!C13</f>
        <v>0</v>
      </c>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row>
    <row r="14" spans="1:31" x14ac:dyDescent="0.2">
      <c r="A14" s="481"/>
      <c r="B14" s="2" t="str">
        <f>'sources-uses'!B14</f>
        <v>CONSTRUCTION HARD COSTS</v>
      </c>
      <c r="C14" s="326"/>
      <c r="D14" s="327"/>
      <c r="E14" s="327"/>
      <c r="F14" s="327"/>
      <c r="G14" s="327"/>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row>
    <row r="15" spans="1:31" x14ac:dyDescent="0.2">
      <c r="A15" s="481"/>
      <c r="B15" s="2" t="str">
        <f>'sources-uses'!B15</f>
        <v>Construction - Residential</v>
      </c>
      <c r="C15" s="255">
        <f>'sources-uses'!C15</f>
        <v>0</v>
      </c>
      <c r="D15" s="327"/>
      <c r="E15" s="254">
        <f>SUM(G15:Y15)</f>
        <v>0</v>
      </c>
      <c r="F15" s="327"/>
      <c r="G15" s="254">
        <f>'project budget'!$D15</f>
        <v>0</v>
      </c>
      <c r="H15" s="327"/>
      <c r="I15" s="254">
        <f>'project budget'!$E15</f>
        <v>0</v>
      </c>
      <c r="J15" s="327"/>
      <c r="K15" s="254">
        <f>'project budget'!$F15</f>
        <v>0</v>
      </c>
      <c r="L15" s="327"/>
      <c r="M15" s="254">
        <f>'project budget'!$G15</f>
        <v>0</v>
      </c>
      <c r="N15" s="327"/>
      <c r="O15" s="254">
        <f>'project budget'!$H15</f>
        <v>0</v>
      </c>
      <c r="P15" s="327"/>
      <c r="Q15" s="254">
        <f>'project budget'!$I15</f>
        <v>0</v>
      </c>
      <c r="R15" s="327"/>
      <c r="S15" s="254">
        <f>'project budget'!$J15</f>
        <v>0</v>
      </c>
      <c r="T15" s="327"/>
      <c r="U15" s="254">
        <f>'project budget'!$K15</f>
        <v>0</v>
      </c>
      <c r="V15" s="327"/>
      <c r="W15" s="254">
        <f>'project budget'!$L15</f>
        <v>0</v>
      </c>
      <c r="X15" s="327"/>
      <c r="Y15" s="254">
        <f>'project budget'!$M15</f>
        <v>0</v>
      </c>
      <c r="Z15" s="254">
        <f>$C15</f>
        <v>0</v>
      </c>
      <c r="AA15" s="254">
        <f t="shared" ref="AA15:AA17" si="2">$C15</f>
        <v>0</v>
      </c>
      <c r="AB15" s="254">
        <v>0</v>
      </c>
      <c r="AC15" s="254">
        <v>0</v>
      </c>
      <c r="AD15" s="254">
        <v>0</v>
      </c>
      <c r="AE15" s="254">
        <f>C15</f>
        <v>0</v>
      </c>
    </row>
    <row r="16" spans="1:31" x14ac:dyDescent="0.2">
      <c r="A16" s="481"/>
      <c r="B16" s="219" t="str">
        <f>'sources-uses'!B16</f>
        <v>Construction - Commercial</v>
      </c>
      <c r="C16" s="255">
        <f>'sources-uses'!C16</f>
        <v>0</v>
      </c>
      <c r="D16" s="327"/>
      <c r="E16" s="254">
        <f t="shared" ref="E16:E32" si="3">SUM(G16:Y16)</f>
        <v>0</v>
      </c>
      <c r="F16" s="327"/>
      <c r="G16" s="254">
        <f>'project budget'!$D16</f>
        <v>0</v>
      </c>
      <c r="H16" s="327"/>
      <c r="I16" s="254">
        <f>'project budget'!$E16</f>
        <v>0</v>
      </c>
      <c r="J16" s="327"/>
      <c r="K16" s="254">
        <f>'project budget'!$F16</f>
        <v>0</v>
      </c>
      <c r="L16" s="327"/>
      <c r="M16" s="254">
        <f>'project budget'!$G16</f>
        <v>0</v>
      </c>
      <c r="N16" s="327"/>
      <c r="O16" s="254">
        <f>'project budget'!$H16</f>
        <v>0</v>
      </c>
      <c r="P16" s="327"/>
      <c r="Q16" s="254">
        <f>'project budget'!$I16</f>
        <v>0</v>
      </c>
      <c r="R16" s="327"/>
      <c r="S16" s="254">
        <f>'project budget'!$J16</f>
        <v>0</v>
      </c>
      <c r="T16" s="327"/>
      <c r="U16" s="254">
        <f>'project budget'!$K16</f>
        <v>0</v>
      </c>
      <c r="V16" s="327"/>
      <c r="W16" s="254">
        <f>'project budget'!$L16</f>
        <v>0</v>
      </c>
      <c r="X16" s="327"/>
      <c r="Y16" s="254">
        <f>'project budget'!$M16</f>
        <v>0</v>
      </c>
      <c r="Z16" s="254">
        <f>$C16</f>
        <v>0</v>
      </c>
      <c r="AA16" s="254">
        <f t="shared" si="2"/>
        <v>0</v>
      </c>
      <c r="AB16" s="254">
        <v>0</v>
      </c>
      <c r="AC16" s="254">
        <v>0</v>
      </c>
      <c r="AD16" s="254">
        <v>0</v>
      </c>
      <c r="AE16" s="254">
        <f t="shared" ref="AE16:AE32" si="4">C16</f>
        <v>0</v>
      </c>
    </row>
    <row r="17" spans="1:31" x14ac:dyDescent="0.2">
      <c r="A17" s="481"/>
      <c r="B17" s="2" t="str">
        <f>'sources-uses'!B17</f>
        <v>Site Work</v>
      </c>
      <c r="C17" s="255">
        <f>'sources-uses'!C17</f>
        <v>0</v>
      </c>
      <c r="D17" s="327"/>
      <c r="E17" s="254">
        <f t="shared" si="3"/>
        <v>0</v>
      </c>
      <c r="F17" s="327"/>
      <c r="G17" s="254">
        <f>'project budget'!$D17</f>
        <v>0</v>
      </c>
      <c r="H17" s="327"/>
      <c r="I17" s="254">
        <f>'project budget'!$E17</f>
        <v>0</v>
      </c>
      <c r="J17" s="327"/>
      <c r="K17" s="254">
        <f>'project budget'!$F17</f>
        <v>0</v>
      </c>
      <c r="L17" s="327"/>
      <c r="M17" s="254">
        <f>'project budget'!$G17</f>
        <v>0</v>
      </c>
      <c r="N17" s="327"/>
      <c r="O17" s="254">
        <f>'project budget'!$H17</f>
        <v>0</v>
      </c>
      <c r="P17" s="327"/>
      <c r="Q17" s="254">
        <f>'project budget'!$I17</f>
        <v>0</v>
      </c>
      <c r="R17" s="327"/>
      <c r="S17" s="254">
        <f>'project budget'!$J17</f>
        <v>0</v>
      </c>
      <c r="T17" s="327"/>
      <c r="U17" s="254">
        <f>'project budget'!$K17</f>
        <v>0</v>
      </c>
      <c r="V17" s="327"/>
      <c r="W17" s="254">
        <f>'project budget'!$L17</f>
        <v>0</v>
      </c>
      <c r="X17" s="327"/>
      <c r="Y17" s="254">
        <f>'project budget'!$M17</f>
        <v>0</v>
      </c>
      <c r="Z17" s="254">
        <f>$C17</f>
        <v>0</v>
      </c>
      <c r="AA17" s="254">
        <f t="shared" si="2"/>
        <v>0</v>
      </c>
      <c r="AB17" s="254">
        <v>0</v>
      </c>
      <c r="AC17" s="254">
        <v>0</v>
      </c>
      <c r="AD17" s="254">
        <v>0</v>
      </c>
      <c r="AE17" s="254">
        <f t="shared" si="4"/>
        <v>0</v>
      </c>
    </row>
    <row r="18" spans="1:31" x14ac:dyDescent="0.2">
      <c r="A18" s="481"/>
      <c r="B18" s="2" t="str">
        <f>'sources-uses'!B18</f>
        <v>Demolition - Construction</v>
      </c>
      <c r="C18" s="255">
        <f>'sources-uses'!C18</f>
        <v>0</v>
      </c>
      <c r="D18" s="327"/>
      <c r="E18" s="327"/>
      <c r="F18" s="327"/>
      <c r="G18" s="327"/>
      <c r="H18" s="327"/>
      <c r="I18" s="327"/>
      <c r="J18" s="327"/>
      <c r="K18" s="327"/>
      <c r="L18" s="327"/>
      <c r="M18" s="327"/>
      <c r="N18" s="327"/>
      <c r="O18" s="327"/>
      <c r="P18" s="327"/>
      <c r="Q18" s="327"/>
      <c r="R18" s="327"/>
      <c r="S18" s="327"/>
      <c r="T18" s="327"/>
      <c r="U18" s="327"/>
      <c r="V18" s="327"/>
      <c r="W18" s="327"/>
      <c r="X18" s="327"/>
      <c r="Y18" s="327"/>
      <c r="Z18" s="327"/>
      <c r="AA18" s="254">
        <f>$C18</f>
        <v>0</v>
      </c>
      <c r="AB18" s="327"/>
      <c r="AC18" s="327"/>
      <c r="AD18" s="254">
        <v>0</v>
      </c>
      <c r="AE18" s="254">
        <f t="shared" si="4"/>
        <v>0</v>
      </c>
    </row>
    <row r="19" spans="1:31" x14ac:dyDescent="0.2">
      <c r="A19" s="481"/>
      <c r="B19" s="2" t="str">
        <f>'sources-uses'!B19</f>
        <v>Commercial Fit Up</v>
      </c>
      <c r="C19" s="255">
        <f>'sources-uses'!C19</f>
        <v>0</v>
      </c>
      <c r="D19" s="327"/>
      <c r="E19" s="254">
        <f t="shared" si="3"/>
        <v>0</v>
      </c>
      <c r="F19" s="327"/>
      <c r="G19" s="254">
        <f>'project budget'!$D19</f>
        <v>0</v>
      </c>
      <c r="H19" s="327"/>
      <c r="I19" s="254">
        <f>'project budget'!$E19</f>
        <v>0</v>
      </c>
      <c r="J19" s="327"/>
      <c r="K19" s="254">
        <f>'project budget'!$F19</f>
        <v>0</v>
      </c>
      <c r="L19" s="327"/>
      <c r="M19" s="254">
        <f>'project budget'!$G19</f>
        <v>0</v>
      </c>
      <c r="N19" s="327"/>
      <c r="O19" s="254">
        <f>'project budget'!$H19</f>
        <v>0</v>
      </c>
      <c r="P19" s="327"/>
      <c r="Q19" s="254">
        <f>'project budget'!$I19</f>
        <v>0</v>
      </c>
      <c r="R19" s="327"/>
      <c r="S19" s="254">
        <f>'project budget'!$J19</f>
        <v>0</v>
      </c>
      <c r="T19" s="327"/>
      <c r="U19" s="254">
        <f>'project budget'!$K19</f>
        <v>0</v>
      </c>
      <c r="V19" s="327"/>
      <c r="W19" s="254">
        <f>'project budget'!$L19</f>
        <v>0</v>
      </c>
      <c r="X19" s="327"/>
      <c r="Y19" s="254">
        <f>'project budget'!$M19</f>
        <v>0</v>
      </c>
      <c r="Z19" s="254">
        <f t="shared" ref="Z19:AA32" si="5">$C19</f>
        <v>0</v>
      </c>
      <c r="AA19" s="254">
        <f t="shared" si="5"/>
        <v>0</v>
      </c>
      <c r="AB19" s="327"/>
      <c r="AC19" s="327"/>
      <c r="AD19" s="254">
        <v>0</v>
      </c>
      <c r="AE19" s="254">
        <f t="shared" si="4"/>
        <v>0</v>
      </c>
    </row>
    <row r="20" spans="1:31" x14ac:dyDescent="0.2">
      <c r="A20" s="481"/>
      <c r="B20" s="2" t="str">
        <f>'sources-uses'!B20</f>
        <v>Contractor Overhead</v>
      </c>
      <c r="C20" s="321">
        <f>'sources-uses'!C20</f>
        <v>0</v>
      </c>
      <c r="D20" s="327"/>
      <c r="E20" s="254">
        <f t="shared" si="3"/>
        <v>0</v>
      </c>
      <c r="F20" s="327"/>
      <c r="G20" s="254">
        <f>'project budget'!$D20</f>
        <v>0</v>
      </c>
      <c r="H20" s="327"/>
      <c r="I20" s="254">
        <f>'project budget'!$E20</f>
        <v>0</v>
      </c>
      <c r="J20" s="327"/>
      <c r="K20" s="254">
        <f>'project budget'!$F20</f>
        <v>0</v>
      </c>
      <c r="L20" s="327"/>
      <c r="M20" s="254">
        <f>'project budget'!$G20</f>
        <v>0</v>
      </c>
      <c r="N20" s="327"/>
      <c r="O20" s="254">
        <f>'project budget'!$H20</f>
        <v>0</v>
      </c>
      <c r="P20" s="327"/>
      <c r="Q20" s="254">
        <f>'project budget'!$I20</f>
        <v>0</v>
      </c>
      <c r="R20" s="327"/>
      <c r="S20" s="254">
        <f>'project budget'!$J20</f>
        <v>0</v>
      </c>
      <c r="T20" s="327"/>
      <c r="U20" s="254">
        <f>'project budget'!$K20</f>
        <v>0</v>
      </c>
      <c r="V20" s="327"/>
      <c r="W20" s="254">
        <f>'project budget'!$L20</f>
        <v>0</v>
      </c>
      <c r="X20" s="327"/>
      <c r="Y20" s="254">
        <f>'project budget'!$M20</f>
        <v>0</v>
      </c>
      <c r="Z20" s="254">
        <f t="shared" si="5"/>
        <v>0</v>
      </c>
      <c r="AA20" s="254">
        <f t="shared" si="5"/>
        <v>0</v>
      </c>
      <c r="AB20" s="327"/>
      <c r="AC20" s="327"/>
      <c r="AD20" s="254">
        <v>0</v>
      </c>
      <c r="AE20" s="254">
        <f t="shared" si="4"/>
        <v>0</v>
      </c>
    </row>
    <row r="21" spans="1:31" x14ac:dyDescent="0.2">
      <c r="A21" s="481"/>
      <c r="B21" s="2" t="str">
        <f>'sources-uses'!B21</f>
        <v>Contractor Profit</v>
      </c>
      <c r="C21" s="255">
        <f>'sources-uses'!C21</f>
        <v>0</v>
      </c>
      <c r="D21" s="327"/>
      <c r="E21" s="254">
        <f t="shared" si="3"/>
        <v>0</v>
      </c>
      <c r="F21" s="327"/>
      <c r="G21" s="254">
        <f>'project budget'!$D21</f>
        <v>0</v>
      </c>
      <c r="H21" s="327"/>
      <c r="I21" s="254">
        <f>'project budget'!$E21</f>
        <v>0</v>
      </c>
      <c r="J21" s="327"/>
      <c r="K21" s="254">
        <f>'project budget'!$F21</f>
        <v>0</v>
      </c>
      <c r="L21" s="327"/>
      <c r="M21" s="254">
        <f>'project budget'!$G21</f>
        <v>0</v>
      </c>
      <c r="N21" s="327"/>
      <c r="O21" s="254">
        <f>'project budget'!$H21</f>
        <v>0</v>
      </c>
      <c r="P21" s="327"/>
      <c r="Q21" s="254">
        <f>'project budget'!$I21</f>
        <v>0</v>
      </c>
      <c r="R21" s="327"/>
      <c r="S21" s="254">
        <f>'project budget'!$J21</f>
        <v>0</v>
      </c>
      <c r="T21" s="327"/>
      <c r="U21" s="254">
        <f>'project budget'!$K21</f>
        <v>0</v>
      </c>
      <c r="V21" s="327"/>
      <c r="W21" s="254">
        <f>'project budget'!$L21</f>
        <v>0</v>
      </c>
      <c r="X21" s="327"/>
      <c r="Y21" s="254">
        <f>'project budget'!$M21</f>
        <v>0</v>
      </c>
      <c r="Z21" s="254">
        <f t="shared" si="5"/>
        <v>0</v>
      </c>
      <c r="AA21" s="254">
        <f>$C21</f>
        <v>0</v>
      </c>
      <c r="AB21" s="327"/>
      <c r="AC21" s="327"/>
      <c r="AD21" s="254">
        <v>0</v>
      </c>
      <c r="AE21" s="254">
        <f t="shared" si="4"/>
        <v>0</v>
      </c>
    </row>
    <row r="22" spans="1:31" x14ac:dyDescent="0.2">
      <c r="A22" s="481"/>
      <c r="B22" s="2" t="str">
        <f>'sources-uses'!B22</f>
        <v>Contractor General Requirements</v>
      </c>
      <c r="C22" s="255">
        <f>'sources-uses'!C22</f>
        <v>0</v>
      </c>
      <c r="D22" s="327"/>
      <c r="E22" s="254">
        <f t="shared" si="3"/>
        <v>0</v>
      </c>
      <c r="F22" s="327"/>
      <c r="G22" s="254">
        <f>'project budget'!$D22</f>
        <v>0</v>
      </c>
      <c r="H22" s="327"/>
      <c r="I22" s="254">
        <f>'project budget'!$E22</f>
        <v>0</v>
      </c>
      <c r="J22" s="327"/>
      <c r="K22" s="254">
        <f>'project budget'!$F22</f>
        <v>0</v>
      </c>
      <c r="L22" s="327"/>
      <c r="M22" s="254">
        <f>'project budget'!$G22</f>
        <v>0</v>
      </c>
      <c r="N22" s="327"/>
      <c r="O22" s="254">
        <f>'project budget'!$H22</f>
        <v>0</v>
      </c>
      <c r="P22" s="327"/>
      <c r="Q22" s="254">
        <f>'project budget'!$I22</f>
        <v>0</v>
      </c>
      <c r="R22" s="327"/>
      <c r="S22" s="254">
        <f>'project budget'!$J22</f>
        <v>0</v>
      </c>
      <c r="T22" s="327"/>
      <c r="U22" s="254">
        <f>'project budget'!$K22</f>
        <v>0</v>
      </c>
      <c r="V22" s="327"/>
      <c r="W22" s="254">
        <f>'project budget'!$L22</f>
        <v>0</v>
      </c>
      <c r="X22" s="327"/>
      <c r="Y22" s="254">
        <f>'project budget'!$M22</f>
        <v>0</v>
      </c>
      <c r="Z22" s="254">
        <f t="shared" si="5"/>
        <v>0</v>
      </c>
      <c r="AA22" s="254">
        <f>$C22</f>
        <v>0</v>
      </c>
      <c r="AB22" s="327"/>
      <c r="AC22" s="327"/>
      <c r="AD22" s="254">
        <v>0</v>
      </c>
      <c r="AE22" s="254">
        <f t="shared" si="4"/>
        <v>0</v>
      </c>
    </row>
    <row r="23" spans="1:31" x14ac:dyDescent="0.2">
      <c r="A23" s="481"/>
      <c r="B23" s="2" t="str">
        <f>'sources-uses'!B23</f>
        <v>Construction Contingency</v>
      </c>
      <c r="C23" s="255">
        <f>'sources-uses'!C23</f>
        <v>0</v>
      </c>
      <c r="D23" s="327"/>
      <c r="E23" s="254">
        <f t="shared" si="3"/>
        <v>0</v>
      </c>
      <c r="F23" s="327"/>
      <c r="G23" s="254">
        <f>'project budget'!$D23</f>
        <v>0</v>
      </c>
      <c r="H23" s="327"/>
      <c r="I23" s="254">
        <f>'project budget'!$E23</f>
        <v>0</v>
      </c>
      <c r="J23" s="327"/>
      <c r="K23" s="254">
        <f>'project budget'!$F23</f>
        <v>0</v>
      </c>
      <c r="L23" s="327"/>
      <c r="M23" s="254">
        <f>'project budget'!$G23</f>
        <v>0</v>
      </c>
      <c r="N23" s="327"/>
      <c r="O23" s="254">
        <f>'project budget'!$H23</f>
        <v>0</v>
      </c>
      <c r="P23" s="327"/>
      <c r="Q23" s="254">
        <f>'project budget'!$I23</f>
        <v>0</v>
      </c>
      <c r="R23" s="327"/>
      <c r="S23" s="254">
        <f>'project budget'!$J23</f>
        <v>0</v>
      </c>
      <c r="T23" s="327"/>
      <c r="U23" s="254">
        <f>'project budget'!$K23</f>
        <v>0</v>
      </c>
      <c r="V23" s="327"/>
      <c r="W23" s="254">
        <f>'project budget'!$L23</f>
        <v>0</v>
      </c>
      <c r="X23" s="327"/>
      <c r="Y23" s="254">
        <f>'project budget'!$M23</f>
        <v>0</v>
      </c>
      <c r="Z23" s="254">
        <f t="shared" si="5"/>
        <v>0</v>
      </c>
      <c r="AA23" s="254">
        <f t="shared" si="5"/>
        <v>0</v>
      </c>
      <c r="AB23" s="327"/>
      <c r="AC23" s="327"/>
      <c r="AD23" s="254">
        <v>0</v>
      </c>
      <c r="AE23" s="254">
        <f t="shared" si="4"/>
        <v>0</v>
      </c>
    </row>
    <row r="24" spans="1:31" x14ac:dyDescent="0.2">
      <c r="A24" s="481"/>
      <c r="B24" s="2" t="str">
        <f>'sources-uses'!B24</f>
        <v>Construction Bond Fee</v>
      </c>
      <c r="C24" s="255">
        <f>'sources-uses'!C24</f>
        <v>0</v>
      </c>
      <c r="D24" s="327"/>
      <c r="E24" s="254">
        <f t="shared" si="3"/>
        <v>0</v>
      </c>
      <c r="F24" s="327"/>
      <c r="G24" s="254">
        <f>'project budget'!$D24</f>
        <v>0</v>
      </c>
      <c r="H24" s="327"/>
      <c r="I24" s="254">
        <f>'project budget'!$E24</f>
        <v>0</v>
      </c>
      <c r="J24" s="327"/>
      <c r="K24" s="254">
        <f>'project budget'!$F24</f>
        <v>0</v>
      </c>
      <c r="L24" s="327"/>
      <c r="M24" s="254">
        <f>'project budget'!$G24</f>
        <v>0</v>
      </c>
      <c r="N24" s="327"/>
      <c r="O24" s="254">
        <f>'project budget'!$H24</f>
        <v>0</v>
      </c>
      <c r="P24" s="327"/>
      <c r="Q24" s="254">
        <f>'project budget'!$I24</f>
        <v>0</v>
      </c>
      <c r="R24" s="327"/>
      <c r="S24" s="254">
        <f>'project budget'!$J24</f>
        <v>0</v>
      </c>
      <c r="T24" s="327"/>
      <c r="U24" s="254">
        <f>'project budget'!$K24</f>
        <v>0</v>
      </c>
      <c r="V24" s="327"/>
      <c r="W24" s="254">
        <f>'project budget'!$L24</f>
        <v>0</v>
      </c>
      <c r="X24" s="327"/>
      <c r="Y24" s="254">
        <f>'project budget'!$M24</f>
        <v>0</v>
      </c>
      <c r="Z24" s="254">
        <f t="shared" si="5"/>
        <v>0</v>
      </c>
      <c r="AA24" s="254">
        <f t="shared" si="5"/>
        <v>0</v>
      </c>
      <c r="AB24" s="327"/>
      <c r="AC24" s="327"/>
      <c r="AD24" s="254">
        <v>0</v>
      </c>
      <c r="AE24" s="254">
        <f t="shared" si="4"/>
        <v>0</v>
      </c>
    </row>
    <row r="25" spans="1:31" x14ac:dyDescent="0.2">
      <c r="A25" s="481"/>
      <c r="B25" s="2" t="str">
        <f>'sources-uses'!B25</f>
        <v>Hazardous Materials Abatement</v>
      </c>
      <c r="C25" s="255">
        <f>'sources-uses'!C25</f>
        <v>0</v>
      </c>
      <c r="D25" s="327"/>
      <c r="E25" s="254">
        <f t="shared" si="3"/>
        <v>0</v>
      </c>
      <c r="F25" s="327"/>
      <c r="G25" s="254">
        <f>'project budget'!$D25</f>
        <v>0</v>
      </c>
      <c r="H25" s="327"/>
      <c r="I25" s="254">
        <f>'project budget'!$E25</f>
        <v>0</v>
      </c>
      <c r="J25" s="327"/>
      <c r="K25" s="254">
        <f>'project budget'!$F25</f>
        <v>0</v>
      </c>
      <c r="L25" s="327"/>
      <c r="M25" s="254">
        <f>'project budget'!$G25</f>
        <v>0</v>
      </c>
      <c r="N25" s="327"/>
      <c r="O25" s="254">
        <f>'project budget'!$H25</f>
        <v>0</v>
      </c>
      <c r="P25" s="327"/>
      <c r="Q25" s="254">
        <f>'project budget'!$I25</f>
        <v>0</v>
      </c>
      <c r="R25" s="327"/>
      <c r="S25" s="254">
        <f>'project budget'!$J25</f>
        <v>0</v>
      </c>
      <c r="T25" s="327"/>
      <c r="U25" s="254">
        <f>'project budget'!$K25</f>
        <v>0</v>
      </c>
      <c r="V25" s="327"/>
      <c r="W25" s="254">
        <f>'project budget'!$L25</f>
        <v>0</v>
      </c>
      <c r="X25" s="327"/>
      <c r="Y25" s="254">
        <f>'project budget'!$M25</f>
        <v>0</v>
      </c>
      <c r="Z25" s="254">
        <f t="shared" si="5"/>
        <v>0</v>
      </c>
      <c r="AA25" s="254">
        <f t="shared" si="5"/>
        <v>0</v>
      </c>
      <c r="AB25" s="327"/>
      <c r="AC25" s="327"/>
      <c r="AD25" s="254">
        <v>0</v>
      </c>
      <c r="AE25" s="254">
        <f t="shared" si="4"/>
        <v>0</v>
      </c>
    </row>
    <row r="26" spans="1:31" x14ac:dyDescent="0.2">
      <c r="A26" s="481"/>
      <c r="B26" s="2" t="str">
        <f>'sources-uses'!B26</f>
        <v>Off-Site Improvements</v>
      </c>
      <c r="C26" s="255">
        <f>'sources-uses'!C26</f>
        <v>0</v>
      </c>
      <c r="D26" s="327"/>
      <c r="E26" s="254">
        <f t="shared" si="3"/>
        <v>0</v>
      </c>
      <c r="F26" s="327"/>
      <c r="G26" s="254">
        <f>'project budget'!$D26</f>
        <v>0</v>
      </c>
      <c r="H26" s="327"/>
      <c r="I26" s="254">
        <f>'project budget'!$E26</f>
        <v>0</v>
      </c>
      <c r="J26" s="327"/>
      <c r="K26" s="254">
        <f>'project budget'!$F26</f>
        <v>0</v>
      </c>
      <c r="L26" s="327"/>
      <c r="M26" s="254">
        <f>'project budget'!$G26</f>
        <v>0</v>
      </c>
      <c r="N26" s="327"/>
      <c r="O26" s="254">
        <f>'project budget'!$H26</f>
        <v>0</v>
      </c>
      <c r="P26" s="327"/>
      <c r="Q26" s="254">
        <f>'project budget'!$I26</f>
        <v>0</v>
      </c>
      <c r="R26" s="327"/>
      <c r="S26" s="254">
        <f>'project budget'!$J26</f>
        <v>0</v>
      </c>
      <c r="T26" s="327"/>
      <c r="U26" s="254">
        <f>'project budget'!$K26</f>
        <v>0</v>
      </c>
      <c r="V26" s="327"/>
      <c r="W26" s="254">
        <f>'project budget'!$L26</f>
        <v>0</v>
      </c>
      <c r="X26" s="327"/>
      <c r="Y26" s="254">
        <f>'project budget'!$M26</f>
        <v>0</v>
      </c>
      <c r="Z26" s="254">
        <f t="shared" si="5"/>
        <v>0</v>
      </c>
      <c r="AA26" s="254">
        <f t="shared" si="5"/>
        <v>0</v>
      </c>
      <c r="AB26" s="254">
        <v>0</v>
      </c>
      <c r="AC26" s="254">
        <v>0</v>
      </c>
      <c r="AD26" s="254">
        <v>0</v>
      </c>
      <c r="AE26" s="254">
        <f t="shared" si="4"/>
        <v>0</v>
      </c>
    </row>
    <row r="27" spans="1:31" x14ac:dyDescent="0.2">
      <c r="A27" s="481"/>
      <c r="B27" s="2" t="str">
        <f>'sources-uses'!B27</f>
        <v>Furnishings, Fixtures, &amp; Equipment</v>
      </c>
      <c r="C27" s="255">
        <f>'sources-uses'!C27</f>
        <v>0</v>
      </c>
      <c r="D27" s="327"/>
      <c r="E27" s="254">
        <f t="shared" si="3"/>
        <v>0</v>
      </c>
      <c r="F27" s="327"/>
      <c r="G27" s="254">
        <f>'project budget'!$D27</f>
        <v>0</v>
      </c>
      <c r="H27" s="327"/>
      <c r="I27" s="254">
        <f>'project budget'!$E27</f>
        <v>0</v>
      </c>
      <c r="J27" s="327"/>
      <c r="K27" s="254">
        <f>'project budget'!$F27</f>
        <v>0</v>
      </c>
      <c r="L27" s="327"/>
      <c r="M27" s="254">
        <f>'project budget'!$G27</f>
        <v>0</v>
      </c>
      <c r="N27" s="327"/>
      <c r="O27" s="254">
        <f>'project budget'!$H27</f>
        <v>0</v>
      </c>
      <c r="P27" s="327"/>
      <c r="Q27" s="254">
        <f>'project budget'!$I27</f>
        <v>0</v>
      </c>
      <c r="R27" s="327"/>
      <c r="S27" s="254">
        <f>'project budget'!$J27</f>
        <v>0</v>
      </c>
      <c r="T27" s="327"/>
      <c r="U27" s="254">
        <f>'project budget'!$K27</f>
        <v>0</v>
      </c>
      <c r="V27" s="327"/>
      <c r="W27" s="254">
        <f>'project budget'!$L27</f>
        <v>0</v>
      </c>
      <c r="X27" s="327"/>
      <c r="Y27" s="254">
        <f>'project budget'!$M27</f>
        <v>0</v>
      </c>
      <c r="Z27" s="254">
        <f t="shared" si="5"/>
        <v>0</v>
      </c>
      <c r="AA27" s="254">
        <f t="shared" si="5"/>
        <v>0</v>
      </c>
      <c r="AB27" s="254">
        <v>0</v>
      </c>
      <c r="AC27" s="254">
        <v>0</v>
      </c>
      <c r="AD27" s="254">
        <v>0</v>
      </c>
      <c r="AE27" s="254">
        <f t="shared" si="4"/>
        <v>0</v>
      </c>
    </row>
    <row r="28" spans="1:31" outlineLevel="1" x14ac:dyDescent="0.2">
      <c r="A28" s="481"/>
      <c r="B28" s="316" t="str">
        <f>'sources-uses'!B28</f>
        <v>[Additional Field - Specify]</v>
      </c>
      <c r="C28" s="255">
        <f>'sources-uses'!C28</f>
        <v>0</v>
      </c>
      <c r="D28" s="323"/>
      <c r="E28" s="254">
        <f t="shared" si="3"/>
        <v>0</v>
      </c>
      <c r="F28" s="327"/>
      <c r="G28" s="254">
        <f>'project budget'!$D28</f>
        <v>0</v>
      </c>
      <c r="H28" s="327"/>
      <c r="I28" s="254">
        <f>'project budget'!$E28</f>
        <v>0</v>
      </c>
      <c r="J28" s="327"/>
      <c r="K28" s="254">
        <f>'project budget'!$F28</f>
        <v>0</v>
      </c>
      <c r="L28" s="327"/>
      <c r="M28" s="254">
        <f>'project budget'!$G28</f>
        <v>0</v>
      </c>
      <c r="N28" s="327"/>
      <c r="O28" s="254">
        <f>'project budget'!$H28</f>
        <v>0</v>
      </c>
      <c r="P28" s="327"/>
      <c r="Q28" s="254">
        <f>'project budget'!$I28</f>
        <v>0</v>
      </c>
      <c r="R28" s="327"/>
      <c r="S28" s="254">
        <f>'project budget'!$J28</f>
        <v>0</v>
      </c>
      <c r="T28" s="327"/>
      <c r="U28" s="254">
        <f>'project budget'!$K28</f>
        <v>0</v>
      </c>
      <c r="V28" s="327"/>
      <c r="W28" s="254">
        <f>'project budget'!$L28</f>
        <v>0</v>
      </c>
      <c r="X28" s="327"/>
      <c r="Y28" s="254">
        <f>'project budget'!$M28</f>
        <v>0</v>
      </c>
      <c r="Z28" s="254">
        <f t="shared" si="5"/>
        <v>0</v>
      </c>
      <c r="AA28" s="254">
        <f t="shared" si="5"/>
        <v>0</v>
      </c>
      <c r="AB28" s="254">
        <v>0</v>
      </c>
      <c r="AC28" s="254">
        <v>0</v>
      </c>
      <c r="AD28" s="254">
        <v>0</v>
      </c>
      <c r="AE28" s="254">
        <f t="shared" si="4"/>
        <v>0</v>
      </c>
    </row>
    <row r="29" spans="1:31" outlineLevel="1" x14ac:dyDescent="0.2">
      <c r="A29" s="481"/>
      <c r="B29" s="316" t="str">
        <f>'sources-uses'!B29</f>
        <v>[Additional Field - Specify]</v>
      </c>
      <c r="C29" s="255">
        <f>'sources-uses'!C29</f>
        <v>0</v>
      </c>
      <c r="D29" s="327"/>
      <c r="E29" s="254">
        <f t="shared" si="3"/>
        <v>0</v>
      </c>
      <c r="F29" s="327"/>
      <c r="G29" s="254">
        <f>'project budget'!$D29</f>
        <v>0</v>
      </c>
      <c r="H29" s="327"/>
      <c r="I29" s="254">
        <f>'project budget'!$E29</f>
        <v>0</v>
      </c>
      <c r="J29" s="327"/>
      <c r="K29" s="254">
        <f>'project budget'!$F29</f>
        <v>0</v>
      </c>
      <c r="L29" s="327"/>
      <c r="M29" s="254">
        <f>'project budget'!$G29</f>
        <v>0</v>
      </c>
      <c r="N29" s="327"/>
      <c r="O29" s="254">
        <f>'project budget'!$H29</f>
        <v>0</v>
      </c>
      <c r="P29" s="327"/>
      <c r="Q29" s="254">
        <f>'project budget'!$I29</f>
        <v>0</v>
      </c>
      <c r="R29" s="327"/>
      <c r="S29" s="254">
        <f>'project budget'!$J29</f>
        <v>0</v>
      </c>
      <c r="T29" s="327"/>
      <c r="U29" s="254">
        <f>'project budget'!$K29</f>
        <v>0</v>
      </c>
      <c r="V29" s="327"/>
      <c r="W29" s="254">
        <f>'project budget'!$L29</f>
        <v>0</v>
      </c>
      <c r="X29" s="327"/>
      <c r="Y29" s="254">
        <f>'project budget'!$M29</f>
        <v>0</v>
      </c>
      <c r="Z29" s="254">
        <f t="shared" si="5"/>
        <v>0</v>
      </c>
      <c r="AA29" s="254">
        <f t="shared" si="5"/>
        <v>0</v>
      </c>
      <c r="AB29" s="254">
        <v>0</v>
      </c>
      <c r="AC29" s="254">
        <v>0</v>
      </c>
      <c r="AD29" s="254">
        <v>0</v>
      </c>
      <c r="AE29" s="254">
        <f t="shared" si="4"/>
        <v>0</v>
      </c>
    </row>
    <row r="30" spans="1:31" outlineLevel="1" x14ac:dyDescent="0.2">
      <c r="A30" s="481"/>
      <c r="B30" s="316" t="str">
        <f>'sources-uses'!B30</f>
        <v>[Additional Field - Specify]</v>
      </c>
      <c r="C30" s="255">
        <f>'sources-uses'!C30</f>
        <v>0</v>
      </c>
      <c r="D30" s="327"/>
      <c r="E30" s="254">
        <f t="shared" si="3"/>
        <v>0</v>
      </c>
      <c r="F30" s="327"/>
      <c r="G30" s="254">
        <f>'project budget'!$D30</f>
        <v>0</v>
      </c>
      <c r="H30" s="327"/>
      <c r="I30" s="254">
        <f>'project budget'!$E30</f>
        <v>0</v>
      </c>
      <c r="J30" s="327"/>
      <c r="K30" s="254">
        <f>'project budget'!$F30</f>
        <v>0</v>
      </c>
      <c r="L30" s="327"/>
      <c r="M30" s="254">
        <f>'project budget'!$G30</f>
        <v>0</v>
      </c>
      <c r="N30" s="327"/>
      <c r="O30" s="254">
        <f>'project budget'!$H30</f>
        <v>0</v>
      </c>
      <c r="P30" s="327"/>
      <c r="Q30" s="254">
        <f>'project budget'!$I30</f>
        <v>0</v>
      </c>
      <c r="R30" s="327"/>
      <c r="S30" s="254">
        <f>'project budget'!$J30</f>
        <v>0</v>
      </c>
      <c r="T30" s="327"/>
      <c r="U30" s="254">
        <f>'project budget'!$K30</f>
        <v>0</v>
      </c>
      <c r="V30" s="327"/>
      <c r="W30" s="254">
        <f>'project budget'!$L30</f>
        <v>0</v>
      </c>
      <c r="X30" s="327"/>
      <c r="Y30" s="254">
        <f>'project budget'!$M30</f>
        <v>0</v>
      </c>
      <c r="Z30" s="254">
        <f t="shared" si="5"/>
        <v>0</v>
      </c>
      <c r="AA30" s="254">
        <f t="shared" si="5"/>
        <v>0</v>
      </c>
      <c r="AB30" s="254">
        <v>0</v>
      </c>
      <c r="AC30" s="254">
        <v>0</v>
      </c>
      <c r="AD30" s="254">
        <v>0</v>
      </c>
      <c r="AE30" s="254">
        <f t="shared" si="4"/>
        <v>0</v>
      </c>
    </row>
    <row r="31" spans="1:31" outlineLevel="1" x14ac:dyDescent="0.2">
      <c r="A31" s="481"/>
      <c r="B31" s="316" t="str">
        <f>'sources-uses'!B31</f>
        <v>[Additional Field - Specify]</v>
      </c>
      <c r="C31" s="255">
        <f>'sources-uses'!C31</f>
        <v>0</v>
      </c>
      <c r="D31" s="327"/>
      <c r="E31" s="254">
        <f t="shared" si="3"/>
        <v>0</v>
      </c>
      <c r="F31" s="327"/>
      <c r="G31" s="254">
        <f>'project budget'!$D31</f>
        <v>0</v>
      </c>
      <c r="H31" s="327"/>
      <c r="I31" s="254">
        <f>'project budget'!$E31</f>
        <v>0</v>
      </c>
      <c r="J31" s="327"/>
      <c r="K31" s="254">
        <f>'project budget'!$F31</f>
        <v>0</v>
      </c>
      <c r="L31" s="327"/>
      <c r="M31" s="254">
        <f>'project budget'!$G31</f>
        <v>0</v>
      </c>
      <c r="N31" s="327"/>
      <c r="O31" s="254">
        <f>'project budget'!$H31</f>
        <v>0</v>
      </c>
      <c r="P31" s="327"/>
      <c r="Q31" s="254">
        <f>'project budget'!$I31</f>
        <v>0</v>
      </c>
      <c r="R31" s="327"/>
      <c r="S31" s="254">
        <f>'project budget'!$J31</f>
        <v>0</v>
      </c>
      <c r="T31" s="327"/>
      <c r="U31" s="254">
        <f>'project budget'!$K31</f>
        <v>0</v>
      </c>
      <c r="V31" s="327"/>
      <c r="W31" s="254">
        <f>'project budget'!$L31</f>
        <v>0</v>
      </c>
      <c r="X31" s="327"/>
      <c r="Y31" s="254">
        <f>'project budget'!$M31</f>
        <v>0</v>
      </c>
      <c r="Z31" s="254">
        <f t="shared" si="5"/>
        <v>0</v>
      </c>
      <c r="AA31" s="254">
        <f t="shared" si="5"/>
        <v>0</v>
      </c>
      <c r="AB31" s="254">
        <v>0</v>
      </c>
      <c r="AC31" s="254">
        <v>0</v>
      </c>
      <c r="AD31" s="254">
        <v>0</v>
      </c>
      <c r="AE31" s="254">
        <f t="shared" si="4"/>
        <v>0</v>
      </c>
    </row>
    <row r="32" spans="1:31" outlineLevel="1" x14ac:dyDescent="0.2">
      <c r="A32" s="481"/>
      <c r="B32" s="316" t="str">
        <f>'sources-uses'!B32</f>
        <v>[Additional Field - Specify]</v>
      </c>
      <c r="C32" s="255">
        <f>'sources-uses'!C32</f>
        <v>0</v>
      </c>
      <c r="D32" s="327"/>
      <c r="E32" s="254">
        <f t="shared" si="3"/>
        <v>0</v>
      </c>
      <c r="F32" s="327"/>
      <c r="G32" s="254">
        <f>'project budget'!$D32</f>
        <v>0</v>
      </c>
      <c r="H32" s="327"/>
      <c r="I32" s="254">
        <f>'project budget'!$E32</f>
        <v>0</v>
      </c>
      <c r="J32" s="327"/>
      <c r="K32" s="254">
        <f>'project budget'!$F32</f>
        <v>0</v>
      </c>
      <c r="L32" s="327"/>
      <c r="M32" s="254">
        <f>'project budget'!$G32</f>
        <v>0</v>
      </c>
      <c r="N32" s="327"/>
      <c r="O32" s="254">
        <f>'project budget'!$H32</f>
        <v>0</v>
      </c>
      <c r="P32" s="327"/>
      <c r="Q32" s="254">
        <f>'project budget'!$I32</f>
        <v>0</v>
      </c>
      <c r="R32" s="327"/>
      <c r="S32" s="254">
        <f>'project budget'!$J32</f>
        <v>0</v>
      </c>
      <c r="T32" s="327"/>
      <c r="U32" s="254">
        <f>'project budget'!$K32</f>
        <v>0</v>
      </c>
      <c r="V32" s="327"/>
      <c r="W32" s="254">
        <f>'project budget'!$L32</f>
        <v>0</v>
      </c>
      <c r="X32" s="327"/>
      <c r="Y32" s="254">
        <f>'project budget'!$M32</f>
        <v>0</v>
      </c>
      <c r="Z32" s="254">
        <f t="shared" si="5"/>
        <v>0</v>
      </c>
      <c r="AA32" s="254">
        <f t="shared" si="5"/>
        <v>0</v>
      </c>
      <c r="AB32" s="254">
        <v>0</v>
      </c>
      <c r="AC32" s="254">
        <v>0</v>
      </c>
      <c r="AD32" s="254">
        <v>0</v>
      </c>
      <c r="AE32" s="254">
        <f t="shared" si="4"/>
        <v>0</v>
      </c>
    </row>
    <row r="33" spans="1:31" x14ac:dyDescent="0.2">
      <c r="A33" s="481"/>
      <c r="B33" s="3" t="str">
        <f>'sources-uses'!B33</f>
        <v>Subtotal - Hard Costs</v>
      </c>
      <c r="C33" s="321">
        <f>'sources-uses'!C33</f>
        <v>0</v>
      </c>
      <c r="D33" s="327"/>
      <c r="E33" s="327"/>
      <c r="F33" s="327"/>
      <c r="G33" s="324"/>
      <c r="H33" s="327"/>
      <c r="I33" s="324"/>
      <c r="J33" s="327"/>
      <c r="K33" s="324"/>
      <c r="L33" s="327"/>
      <c r="M33" s="324"/>
      <c r="N33" s="327"/>
      <c r="O33" s="324"/>
      <c r="P33" s="327"/>
      <c r="Q33" s="324"/>
      <c r="R33" s="327"/>
      <c r="S33" s="324"/>
      <c r="T33" s="327"/>
      <c r="U33" s="324"/>
      <c r="V33" s="327"/>
      <c r="W33" s="324"/>
      <c r="X33" s="327"/>
      <c r="Y33" s="324"/>
      <c r="Z33" s="324"/>
      <c r="AA33" s="324"/>
      <c r="AB33" s="324"/>
      <c r="AC33" s="324"/>
      <c r="AD33" s="324"/>
      <c r="AE33" s="324"/>
    </row>
    <row r="34" spans="1:31" x14ac:dyDescent="0.2">
      <c r="A34" s="481"/>
      <c r="B34" s="3" t="str">
        <f>'sources-uses'!B34</f>
        <v>Subtotal - Acquisition and Hard Costs</v>
      </c>
      <c r="C34" s="321">
        <f>'sources-uses'!C34</f>
        <v>0</v>
      </c>
      <c r="D34" s="327"/>
      <c r="E34" s="327"/>
      <c r="F34" s="327"/>
      <c r="G34" s="324"/>
      <c r="H34" s="327"/>
      <c r="I34" s="324"/>
      <c r="J34" s="327"/>
      <c r="K34" s="324"/>
      <c r="L34" s="327"/>
      <c r="M34" s="324"/>
      <c r="N34" s="327"/>
      <c r="O34" s="324"/>
      <c r="P34" s="327"/>
      <c r="Q34" s="324"/>
      <c r="R34" s="327"/>
      <c r="S34" s="324"/>
      <c r="T34" s="327"/>
      <c r="U34" s="324"/>
      <c r="V34" s="327"/>
      <c r="W34" s="324"/>
      <c r="X34" s="327"/>
      <c r="Y34" s="324"/>
      <c r="Z34" s="324"/>
      <c r="AA34" s="324"/>
      <c r="AB34" s="324"/>
      <c r="AC34" s="324"/>
      <c r="AD34" s="324"/>
      <c r="AE34" s="324"/>
    </row>
    <row r="35" spans="1:31" x14ac:dyDescent="0.2">
      <c r="A35" s="481"/>
      <c r="B35" s="2" t="str">
        <f>'sources-uses'!B35</f>
        <v>SOFT COSTS</v>
      </c>
      <c r="C35" s="326"/>
      <c r="D35" s="327"/>
      <c r="E35" s="327"/>
      <c r="F35" s="327"/>
      <c r="G35" s="327"/>
      <c r="H35" s="327"/>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row>
    <row r="36" spans="1:31" x14ac:dyDescent="0.2">
      <c r="A36" s="481"/>
      <c r="B36" s="2" t="str">
        <f>'sources-uses'!B36</f>
        <v>Architectural</v>
      </c>
      <c r="C36" s="255">
        <f>'sources-uses'!C36</f>
        <v>0</v>
      </c>
      <c r="D36" s="327"/>
      <c r="E36" s="254">
        <f t="shared" ref="E36:E52" si="6">SUM(G36:Y36)</f>
        <v>0</v>
      </c>
      <c r="F36" s="327"/>
      <c r="G36" s="254">
        <f>'project budget'!$D36</f>
        <v>0</v>
      </c>
      <c r="H36" s="327"/>
      <c r="I36" s="254">
        <f>'project budget'!$E36</f>
        <v>0</v>
      </c>
      <c r="J36" s="327"/>
      <c r="K36" s="254">
        <f>'project budget'!$F36</f>
        <v>0</v>
      </c>
      <c r="L36" s="327"/>
      <c r="M36" s="254">
        <f>'project budget'!$G36</f>
        <v>0</v>
      </c>
      <c r="N36" s="327"/>
      <c r="O36" s="254">
        <f>'project budget'!$H36</f>
        <v>0</v>
      </c>
      <c r="P36" s="327"/>
      <c r="Q36" s="254">
        <f>'project budget'!$I36</f>
        <v>0</v>
      </c>
      <c r="R36" s="327"/>
      <c r="S36" s="254">
        <f>'project budget'!$J36</f>
        <v>0</v>
      </c>
      <c r="T36" s="327"/>
      <c r="U36" s="254">
        <f>'project budget'!$K36</f>
        <v>0</v>
      </c>
      <c r="V36" s="327"/>
      <c r="W36" s="254">
        <f>'project budget'!$L36</f>
        <v>0</v>
      </c>
      <c r="X36" s="327"/>
      <c r="Y36" s="254">
        <f>'project budget'!$M36</f>
        <v>0</v>
      </c>
      <c r="Z36" s="254">
        <f>$C36</f>
        <v>0</v>
      </c>
      <c r="AA36" s="254">
        <f t="shared" ref="Z36:AA50" si="7">$C36</f>
        <v>0</v>
      </c>
      <c r="AB36" s="327"/>
      <c r="AC36" s="327"/>
      <c r="AD36" s="254">
        <v>0</v>
      </c>
      <c r="AE36" s="254">
        <f t="shared" ref="AE36:AE65" si="8">C36</f>
        <v>0</v>
      </c>
    </row>
    <row r="37" spans="1:31" x14ac:dyDescent="0.2">
      <c r="A37" s="481"/>
      <c r="B37" s="2" t="str">
        <f>'sources-uses'!B37</f>
        <v>Engineering</v>
      </c>
      <c r="C37" s="255">
        <f>'sources-uses'!C37</f>
        <v>0</v>
      </c>
      <c r="D37" s="327"/>
      <c r="E37" s="254">
        <f t="shared" si="6"/>
        <v>0</v>
      </c>
      <c r="F37" s="327"/>
      <c r="G37" s="254">
        <f>'project budget'!$D37</f>
        <v>0</v>
      </c>
      <c r="H37" s="327"/>
      <c r="I37" s="254">
        <f>'project budget'!$E37</f>
        <v>0</v>
      </c>
      <c r="J37" s="327"/>
      <c r="K37" s="254">
        <f>'project budget'!$F37</f>
        <v>0</v>
      </c>
      <c r="L37" s="327"/>
      <c r="M37" s="254">
        <f>'project budget'!$G37</f>
        <v>0</v>
      </c>
      <c r="N37" s="327"/>
      <c r="O37" s="254">
        <f>'project budget'!$H37</f>
        <v>0</v>
      </c>
      <c r="P37" s="327"/>
      <c r="Q37" s="254">
        <f>'project budget'!$I37</f>
        <v>0</v>
      </c>
      <c r="R37" s="327"/>
      <c r="S37" s="254">
        <f>'project budget'!$J37</f>
        <v>0</v>
      </c>
      <c r="T37" s="327"/>
      <c r="U37" s="254">
        <f>'project budget'!$K37</f>
        <v>0</v>
      </c>
      <c r="V37" s="327"/>
      <c r="W37" s="254">
        <f>'project budget'!$L37</f>
        <v>0</v>
      </c>
      <c r="X37" s="327"/>
      <c r="Y37" s="254">
        <f>'project budget'!$M37</f>
        <v>0</v>
      </c>
      <c r="Z37" s="254">
        <f t="shared" si="7"/>
        <v>0</v>
      </c>
      <c r="AA37" s="254">
        <f t="shared" si="7"/>
        <v>0</v>
      </c>
      <c r="AB37" s="327"/>
      <c r="AC37" s="327"/>
      <c r="AD37" s="254">
        <v>0</v>
      </c>
      <c r="AE37" s="254">
        <f t="shared" si="8"/>
        <v>0</v>
      </c>
    </row>
    <row r="38" spans="1:31" x14ac:dyDescent="0.2">
      <c r="A38" s="481"/>
      <c r="B38" s="2" t="str">
        <f>'sources-uses'!B38</f>
        <v xml:space="preserve">A&amp;E Combined Contract </v>
      </c>
      <c r="C38" s="255">
        <f>'sources-uses'!C38</f>
        <v>0</v>
      </c>
      <c r="D38" s="327"/>
      <c r="E38" s="254">
        <f t="shared" si="6"/>
        <v>0</v>
      </c>
      <c r="F38" s="327"/>
      <c r="G38" s="254">
        <f>'project budget'!$D38</f>
        <v>0</v>
      </c>
      <c r="H38" s="327"/>
      <c r="I38" s="254">
        <f>'project budget'!$E38</f>
        <v>0</v>
      </c>
      <c r="J38" s="327"/>
      <c r="K38" s="254">
        <f>'project budget'!$F38</f>
        <v>0</v>
      </c>
      <c r="L38" s="327"/>
      <c r="M38" s="254">
        <f>'project budget'!$G38</f>
        <v>0</v>
      </c>
      <c r="N38" s="327"/>
      <c r="O38" s="254">
        <f>'project budget'!$H38</f>
        <v>0</v>
      </c>
      <c r="P38" s="327"/>
      <c r="Q38" s="254">
        <f>'project budget'!$I38</f>
        <v>0</v>
      </c>
      <c r="R38" s="327"/>
      <c r="S38" s="254">
        <f>'project budget'!$J38</f>
        <v>0</v>
      </c>
      <c r="T38" s="327"/>
      <c r="U38" s="254">
        <f>'project budget'!$K38</f>
        <v>0</v>
      </c>
      <c r="V38" s="327"/>
      <c r="W38" s="254">
        <f>'project budget'!$L38</f>
        <v>0</v>
      </c>
      <c r="X38" s="327"/>
      <c r="Y38" s="254">
        <f>'project budget'!$M38</f>
        <v>0</v>
      </c>
      <c r="Z38" s="254">
        <f t="shared" si="7"/>
        <v>0</v>
      </c>
      <c r="AA38" s="254">
        <f t="shared" si="7"/>
        <v>0</v>
      </c>
      <c r="AB38" s="327"/>
      <c r="AC38" s="327"/>
      <c r="AD38" s="254">
        <v>0</v>
      </c>
      <c r="AE38" s="254">
        <f t="shared" si="8"/>
        <v>0</v>
      </c>
    </row>
    <row r="39" spans="1:31" x14ac:dyDescent="0.2">
      <c r="A39" s="481"/>
      <c r="B39" s="2" t="str">
        <f>'sources-uses'!B39</f>
        <v>Legal/Accounting</v>
      </c>
      <c r="C39" s="255">
        <f>'sources-uses'!C39</f>
        <v>0</v>
      </c>
      <c r="D39" s="327"/>
      <c r="E39" s="254">
        <f t="shared" si="6"/>
        <v>0</v>
      </c>
      <c r="F39" s="327"/>
      <c r="G39" s="254">
        <f>'project budget'!$D39</f>
        <v>0</v>
      </c>
      <c r="H39" s="327"/>
      <c r="I39" s="254">
        <f>'project budget'!$E39</f>
        <v>0</v>
      </c>
      <c r="J39" s="327"/>
      <c r="K39" s="254">
        <f>'project budget'!$F39</f>
        <v>0</v>
      </c>
      <c r="L39" s="327"/>
      <c r="M39" s="254">
        <f>'project budget'!$G39</f>
        <v>0</v>
      </c>
      <c r="N39" s="327"/>
      <c r="O39" s="254">
        <f>'project budget'!$H39</f>
        <v>0</v>
      </c>
      <c r="P39" s="327"/>
      <c r="Q39" s="254">
        <f>'project budget'!$I39</f>
        <v>0</v>
      </c>
      <c r="R39" s="327"/>
      <c r="S39" s="254">
        <f>'project budget'!$J39</f>
        <v>0</v>
      </c>
      <c r="T39" s="327"/>
      <c r="U39" s="254">
        <f>'project budget'!$K39</f>
        <v>0</v>
      </c>
      <c r="V39" s="327"/>
      <c r="W39" s="254">
        <f>'project budget'!$L39</f>
        <v>0</v>
      </c>
      <c r="X39" s="327"/>
      <c r="Y39" s="254">
        <f>'project budget'!$M39</f>
        <v>0</v>
      </c>
      <c r="Z39" s="254">
        <f t="shared" si="7"/>
        <v>0</v>
      </c>
      <c r="AA39" s="254">
        <f t="shared" si="7"/>
        <v>0</v>
      </c>
      <c r="AB39" s="327"/>
      <c r="AC39" s="327"/>
      <c r="AD39" s="254">
        <v>0</v>
      </c>
      <c r="AE39" s="254">
        <f t="shared" si="8"/>
        <v>0</v>
      </c>
    </row>
    <row r="40" spans="1:31" x14ac:dyDescent="0.2">
      <c r="A40" s="481"/>
      <c r="B40" s="2" t="str">
        <f>'sources-uses'!B40</f>
        <v>Relocation</v>
      </c>
      <c r="C40" s="255">
        <f>'sources-uses'!C40</f>
        <v>0</v>
      </c>
      <c r="D40" s="327"/>
      <c r="E40" s="254">
        <f t="shared" si="6"/>
        <v>0</v>
      </c>
      <c r="F40" s="327"/>
      <c r="G40" s="254">
        <f>'project budget'!$D40</f>
        <v>0</v>
      </c>
      <c r="H40" s="327"/>
      <c r="I40" s="254">
        <f>'project budget'!$E40</f>
        <v>0</v>
      </c>
      <c r="J40" s="327"/>
      <c r="K40" s="254">
        <f>'project budget'!$F40</f>
        <v>0</v>
      </c>
      <c r="L40" s="327"/>
      <c r="M40" s="254">
        <f>'project budget'!$G40</f>
        <v>0</v>
      </c>
      <c r="N40" s="327"/>
      <c r="O40" s="254">
        <f>'project budget'!$H40</f>
        <v>0</v>
      </c>
      <c r="P40" s="327"/>
      <c r="Q40" s="254">
        <f>'project budget'!$I40</f>
        <v>0</v>
      </c>
      <c r="R40" s="327"/>
      <c r="S40" s="254">
        <f>'project budget'!$J40</f>
        <v>0</v>
      </c>
      <c r="T40" s="327"/>
      <c r="U40" s="254">
        <f>'project budget'!$K40</f>
        <v>0</v>
      </c>
      <c r="V40" s="327"/>
      <c r="W40" s="254">
        <f>'project budget'!$L40</f>
        <v>0</v>
      </c>
      <c r="X40" s="327"/>
      <c r="Y40" s="254">
        <f>'project budget'!$M40</f>
        <v>0</v>
      </c>
      <c r="Z40" s="254">
        <f t="shared" si="7"/>
        <v>0</v>
      </c>
      <c r="AA40" s="254">
        <f t="shared" si="7"/>
        <v>0</v>
      </c>
      <c r="AB40" s="327"/>
      <c r="AC40" s="327"/>
      <c r="AD40" s="254">
        <v>0</v>
      </c>
      <c r="AE40" s="254">
        <f t="shared" si="8"/>
        <v>0</v>
      </c>
    </row>
    <row r="41" spans="1:31" x14ac:dyDescent="0.2">
      <c r="A41" s="481"/>
      <c r="B41" s="2" t="str">
        <f>'sources-uses'!B41</f>
        <v>Construction Inspections</v>
      </c>
      <c r="C41" s="255">
        <f>'sources-uses'!C41</f>
        <v>0</v>
      </c>
      <c r="D41" s="327"/>
      <c r="E41" s="254">
        <f t="shared" si="6"/>
        <v>0</v>
      </c>
      <c r="F41" s="327"/>
      <c r="G41" s="254">
        <f>'project budget'!$D41</f>
        <v>0</v>
      </c>
      <c r="H41" s="327"/>
      <c r="I41" s="254">
        <f>'project budget'!$E41</f>
        <v>0</v>
      </c>
      <c r="J41" s="327"/>
      <c r="K41" s="254">
        <f>'project budget'!$F41</f>
        <v>0</v>
      </c>
      <c r="L41" s="327"/>
      <c r="M41" s="254">
        <f>'project budget'!$G41</f>
        <v>0</v>
      </c>
      <c r="N41" s="327"/>
      <c r="O41" s="254">
        <f>'project budget'!$H41</f>
        <v>0</v>
      </c>
      <c r="P41" s="327"/>
      <c r="Q41" s="254">
        <f>'project budget'!$I41</f>
        <v>0</v>
      </c>
      <c r="R41" s="327"/>
      <c r="S41" s="254">
        <f>'project budget'!$J41</f>
        <v>0</v>
      </c>
      <c r="T41" s="327"/>
      <c r="U41" s="254">
        <f>'project budget'!$K41</f>
        <v>0</v>
      </c>
      <c r="V41" s="327"/>
      <c r="W41" s="254">
        <f>'project budget'!$L41</f>
        <v>0</v>
      </c>
      <c r="X41" s="327"/>
      <c r="Y41" s="254">
        <f>'project budget'!$M41</f>
        <v>0</v>
      </c>
      <c r="Z41" s="254">
        <f t="shared" si="7"/>
        <v>0</v>
      </c>
      <c r="AA41" s="254">
        <f t="shared" si="7"/>
        <v>0</v>
      </c>
      <c r="AB41" s="327"/>
      <c r="AC41" s="327"/>
      <c r="AD41" s="254">
        <v>0</v>
      </c>
      <c r="AE41" s="254">
        <f t="shared" si="8"/>
        <v>0</v>
      </c>
    </row>
    <row r="42" spans="1:31" x14ac:dyDescent="0.2">
      <c r="A42" s="481"/>
      <c r="B42" s="2" t="str">
        <f>'sources-uses'!B42</f>
        <v>Environmental Assessment</v>
      </c>
      <c r="C42" s="255">
        <f>'sources-uses'!C42</f>
        <v>0</v>
      </c>
      <c r="D42" s="327"/>
      <c r="E42" s="254">
        <f t="shared" si="6"/>
        <v>0</v>
      </c>
      <c r="F42" s="327"/>
      <c r="G42" s="254">
        <f>'project budget'!$D42</f>
        <v>0</v>
      </c>
      <c r="H42" s="327"/>
      <c r="I42" s="254">
        <f>'project budget'!$E42</f>
        <v>0</v>
      </c>
      <c r="J42" s="327"/>
      <c r="K42" s="254">
        <f>'project budget'!$F42</f>
        <v>0</v>
      </c>
      <c r="L42" s="327"/>
      <c r="M42" s="254">
        <f>'project budget'!$G42</f>
        <v>0</v>
      </c>
      <c r="N42" s="327"/>
      <c r="O42" s="254">
        <f>'project budget'!$H42</f>
        <v>0</v>
      </c>
      <c r="P42" s="327"/>
      <c r="Q42" s="254">
        <f>'project budget'!$I42</f>
        <v>0</v>
      </c>
      <c r="R42" s="327"/>
      <c r="S42" s="254">
        <f>'project budget'!$J42</f>
        <v>0</v>
      </c>
      <c r="T42" s="327"/>
      <c r="U42" s="254">
        <f>'project budget'!$K42</f>
        <v>0</v>
      </c>
      <c r="V42" s="327"/>
      <c r="W42" s="254">
        <f>'project budget'!$L42</f>
        <v>0</v>
      </c>
      <c r="X42" s="327"/>
      <c r="Y42" s="254">
        <f>'project budget'!$M42</f>
        <v>0</v>
      </c>
      <c r="Z42" s="254">
        <f t="shared" si="7"/>
        <v>0</v>
      </c>
      <c r="AA42" s="254">
        <f t="shared" si="7"/>
        <v>0</v>
      </c>
      <c r="AB42" s="327"/>
      <c r="AC42" s="327"/>
      <c r="AD42" s="254">
        <v>0</v>
      </c>
      <c r="AE42" s="254">
        <f t="shared" si="8"/>
        <v>0</v>
      </c>
    </row>
    <row r="43" spans="1:31" x14ac:dyDescent="0.2">
      <c r="A43" s="481"/>
      <c r="B43" s="2" t="str">
        <f>'sources-uses'!B43</f>
        <v>Energy Assessment</v>
      </c>
      <c r="C43" s="255">
        <f>'sources-uses'!C43</f>
        <v>0</v>
      </c>
      <c r="D43" s="327"/>
      <c r="E43" s="254">
        <f t="shared" si="6"/>
        <v>0</v>
      </c>
      <c r="F43" s="327"/>
      <c r="G43" s="254">
        <f>'project budget'!$D43</f>
        <v>0</v>
      </c>
      <c r="H43" s="327"/>
      <c r="I43" s="254">
        <f>'project budget'!$E43</f>
        <v>0</v>
      </c>
      <c r="J43" s="327"/>
      <c r="K43" s="254">
        <f>'project budget'!$F43</f>
        <v>0</v>
      </c>
      <c r="L43" s="327"/>
      <c r="M43" s="254">
        <f>'project budget'!$G43</f>
        <v>0</v>
      </c>
      <c r="N43" s="327"/>
      <c r="O43" s="254">
        <f>'project budget'!$H43</f>
        <v>0</v>
      </c>
      <c r="P43" s="327"/>
      <c r="Q43" s="254">
        <f>'project budget'!$I43</f>
        <v>0</v>
      </c>
      <c r="R43" s="327"/>
      <c r="S43" s="254">
        <f>'project budget'!$J43</f>
        <v>0</v>
      </c>
      <c r="T43" s="327"/>
      <c r="U43" s="254">
        <f>'project budget'!$K43</f>
        <v>0</v>
      </c>
      <c r="V43" s="327"/>
      <c r="W43" s="254">
        <f>'project budget'!$L43</f>
        <v>0</v>
      </c>
      <c r="X43" s="327"/>
      <c r="Y43" s="254">
        <f>'project budget'!$M43</f>
        <v>0</v>
      </c>
      <c r="Z43" s="254">
        <f t="shared" si="7"/>
        <v>0</v>
      </c>
      <c r="AA43" s="254">
        <f t="shared" si="7"/>
        <v>0</v>
      </c>
      <c r="AB43" s="327"/>
      <c r="AC43" s="327"/>
      <c r="AD43" s="254">
        <v>0</v>
      </c>
      <c r="AE43" s="254">
        <f t="shared" si="8"/>
        <v>0</v>
      </c>
    </row>
    <row r="44" spans="1:31" x14ac:dyDescent="0.2">
      <c r="A44" s="481"/>
      <c r="B44" s="2" t="str">
        <f>'sources-uses'!B44</f>
        <v>Permits/Fees</v>
      </c>
      <c r="C44" s="255">
        <f>'sources-uses'!C44</f>
        <v>0</v>
      </c>
      <c r="D44" s="327"/>
      <c r="E44" s="254">
        <f t="shared" si="6"/>
        <v>0</v>
      </c>
      <c r="F44" s="327"/>
      <c r="G44" s="254">
        <f>'project budget'!$D44</f>
        <v>0</v>
      </c>
      <c r="H44" s="327"/>
      <c r="I44" s="254">
        <f>'project budget'!$E44</f>
        <v>0</v>
      </c>
      <c r="J44" s="327"/>
      <c r="K44" s="254">
        <f>'project budget'!$F44</f>
        <v>0</v>
      </c>
      <c r="L44" s="327"/>
      <c r="M44" s="254">
        <f>'project budget'!$G44</f>
        <v>0</v>
      </c>
      <c r="N44" s="327"/>
      <c r="O44" s="254">
        <f>'project budget'!$H44</f>
        <v>0</v>
      </c>
      <c r="P44" s="327"/>
      <c r="Q44" s="254">
        <f>'project budget'!$I44</f>
        <v>0</v>
      </c>
      <c r="R44" s="327"/>
      <c r="S44" s="254">
        <f>'project budget'!$J44</f>
        <v>0</v>
      </c>
      <c r="T44" s="327"/>
      <c r="U44" s="254">
        <f>'project budget'!$K44</f>
        <v>0</v>
      </c>
      <c r="V44" s="327"/>
      <c r="W44" s="254">
        <f>'project budget'!$L44</f>
        <v>0</v>
      </c>
      <c r="X44" s="327"/>
      <c r="Y44" s="254">
        <f>'project budget'!$M44</f>
        <v>0</v>
      </c>
      <c r="Z44" s="254">
        <f t="shared" si="7"/>
        <v>0</v>
      </c>
      <c r="AA44" s="254">
        <f t="shared" si="7"/>
        <v>0</v>
      </c>
      <c r="AB44" s="327"/>
      <c r="AC44" s="327"/>
      <c r="AD44" s="254">
        <v>0</v>
      </c>
      <c r="AE44" s="254">
        <f t="shared" si="8"/>
        <v>0</v>
      </c>
    </row>
    <row r="45" spans="1:31" x14ac:dyDescent="0.2">
      <c r="A45" s="481"/>
      <c r="B45" s="2" t="str">
        <f>'sources-uses'!B45</f>
        <v>Market Study</v>
      </c>
      <c r="C45" s="255">
        <f>'sources-uses'!C45</f>
        <v>0</v>
      </c>
      <c r="D45" s="327"/>
      <c r="E45" s="254">
        <f t="shared" si="6"/>
        <v>0</v>
      </c>
      <c r="F45" s="327"/>
      <c r="G45" s="254">
        <f>'project budget'!$D45</f>
        <v>0</v>
      </c>
      <c r="H45" s="327"/>
      <c r="I45" s="254">
        <f>'project budget'!$E45</f>
        <v>0</v>
      </c>
      <c r="J45" s="327"/>
      <c r="K45" s="254">
        <f>'project budget'!$F45</f>
        <v>0</v>
      </c>
      <c r="L45" s="327"/>
      <c r="M45" s="254">
        <f>'project budget'!$G45</f>
        <v>0</v>
      </c>
      <c r="N45" s="327"/>
      <c r="O45" s="254">
        <f>'project budget'!$H45</f>
        <v>0</v>
      </c>
      <c r="P45" s="327"/>
      <c r="Q45" s="254">
        <f>'project budget'!$I45</f>
        <v>0</v>
      </c>
      <c r="R45" s="327"/>
      <c r="S45" s="254">
        <f>'project budget'!$J45</f>
        <v>0</v>
      </c>
      <c r="T45" s="327"/>
      <c r="U45" s="254">
        <f>'project budget'!$K45</f>
        <v>0</v>
      </c>
      <c r="V45" s="327"/>
      <c r="W45" s="254">
        <f>'project budget'!$L45</f>
        <v>0</v>
      </c>
      <c r="X45" s="327"/>
      <c r="Y45" s="254">
        <f>'project budget'!$M45</f>
        <v>0</v>
      </c>
      <c r="Z45" s="254">
        <f t="shared" si="7"/>
        <v>0</v>
      </c>
      <c r="AA45" s="254">
        <f t="shared" si="7"/>
        <v>0</v>
      </c>
      <c r="AB45" s="327"/>
      <c r="AC45" s="327"/>
      <c r="AD45" s="254">
        <v>0</v>
      </c>
      <c r="AE45" s="254">
        <f t="shared" si="8"/>
        <v>0</v>
      </c>
    </row>
    <row r="46" spans="1:31" x14ac:dyDescent="0.2">
      <c r="A46" s="481"/>
      <c r="B46" s="2" t="str">
        <f>'sources-uses'!B46</f>
        <v>Cost Certification</v>
      </c>
      <c r="C46" s="255">
        <f>'sources-uses'!C46</f>
        <v>0</v>
      </c>
      <c r="D46" s="327"/>
      <c r="E46" s="254">
        <f t="shared" si="6"/>
        <v>0</v>
      </c>
      <c r="F46" s="327"/>
      <c r="G46" s="254">
        <f>'project budget'!$D46</f>
        <v>0</v>
      </c>
      <c r="H46" s="327"/>
      <c r="I46" s="254">
        <f>'project budget'!$E46</f>
        <v>0</v>
      </c>
      <c r="J46" s="327"/>
      <c r="K46" s="254">
        <f>'project budget'!$F46</f>
        <v>0</v>
      </c>
      <c r="L46" s="327"/>
      <c r="M46" s="254">
        <f>'project budget'!$G46</f>
        <v>0</v>
      </c>
      <c r="N46" s="327"/>
      <c r="O46" s="254">
        <f>'project budget'!$H46</f>
        <v>0</v>
      </c>
      <c r="P46" s="327"/>
      <c r="Q46" s="254">
        <f>'project budget'!$I46</f>
        <v>0</v>
      </c>
      <c r="R46" s="327"/>
      <c r="S46" s="254">
        <f>'project budget'!$J46</f>
        <v>0</v>
      </c>
      <c r="T46" s="327"/>
      <c r="U46" s="254">
        <f>'project budget'!$K46</f>
        <v>0</v>
      </c>
      <c r="V46" s="327"/>
      <c r="W46" s="254">
        <f>'project budget'!$L46</f>
        <v>0</v>
      </c>
      <c r="X46" s="327"/>
      <c r="Y46" s="254">
        <f>'project budget'!$M46</f>
        <v>0</v>
      </c>
      <c r="Z46" s="254">
        <f t="shared" si="7"/>
        <v>0</v>
      </c>
      <c r="AA46" s="254">
        <f t="shared" si="7"/>
        <v>0</v>
      </c>
      <c r="AB46" s="327"/>
      <c r="AC46" s="327"/>
      <c r="AD46" s="254">
        <v>0</v>
      </c>
      <c r="AE46" s="254">
        <f t="shared" si="8"/>
        <v>0</v>
      </c>
    </row>
    <row r="47" spans="1:31" x14ac:dyDescent="0.2">
      <c r="A47" s="481"/>
      <c r="B47" s="2" t="str">
        <f>'sources-uses'!B47</f>
        <v>Capital Needs Assessment</v>
      </c>
      <c r="C47" s="255">
        <f>'sources-uses'!C47</f>
        <v>0</v>
      </c>
      <c r="D47" s="327"/>
      <c r="E47" s="254">
        <f t="shared" si="6"/>
        <v>0</v>
      </c>
      <c r="F47" s="327"/>
      <c r="G47" s="254">
        <f>'project budget'!$D47</f>
        <v>0</v>
      </c>
      <c r="H47" s="327"/>
      <c r="I47" s="254">
        <f>'project budget'!$E47</f>
        <v>0</v>
      </c>
      <c r="J47" s="327"/>
      <c r="K47" s="254">
        <f>'project budget'!$F47</f>
        <v>0</v>
      </c>
      <c r="L47" s="327"/>
      <c r="M47" s="254">
        <f>'project budget'!$G47</f>
        <v>0</v>
      </c>
      <c r="N47" s="327"/>
      <c r="O47" s="254">
        <f>'project budget'!$H47</f>
        <v>0</v>
      </c>
      <c r="P47" s="327"/>
      <c r="Q47" s="254">
        <f>'project budget'!$I47</f>
        <v>0</v>
      </c>
      <c r="R47" s="327"/>
      <c r="S47" s="254">
        <f>'project budget'!$J47</f>
        <v>0</v>
      </c>
      <c r="T47" s="327"/>
      <c r="U47" s="254">
        <f>'project budget'!$K47</f>
        <v>0</v>
      </c>
      <c r="V47" s="327"/>
      <c r="W47" s="254">
        <f>'project budget'!$L47</f>
        <v>0</v>
      </c>
      <c r="X47" s="327"/>
      <c r="Y47" s="254">
        <f>'project budget'!$M47</f>
        <v>0</v>
      </c>
      <c r="Z47" s="254">
        <f t="shared" si="7"/>
        <v>0</v>
      </c>
      <c r="AA47" s="254">
        <f t="shared" si="7"/>
        <v>0</v>
      </c>
      <c r="AB47" s="327"/>
      <c r="AC47" s="327"/>
      <c r="AD47" s="254">
        <v>0</v>
      </c>
      <c r="AE47" s="254">
        <f t="shared" si="8"/>
        <v>0</v>
      </c>
    </row>
    <row r="48" spans="1:31" x14ac:dyDescent="0.2">
      <c r="A48" s="481"/>
      <c r="B48" s="2" t="str">
        <f>'sources-uses'!B48</f>
        <v>Construction Period Insurance</v>
      </c>
      <c r="C48" s="255">
        <f>'sources-uses'!C48</f>
        <v>0</v>
      </c>
      <c r="D48" s="327"/>
      <c r="E48" s="254">
        <f t="shared" si="6"/>
        <v>0</v>
      </c>
      <c r="F48" s="327"/>
      <c r="G48" s="254">
        <f>'project budget'!$D48</f>
        <v>0</v>
      </c>
      <c r="H48" s="327"/>
      <c r="I48" s="254">
        <f>'project budget'!$E48</f>
        <v>0</v>
      </c>
      <c r="J48" s="327"/>
      <c r="K48" s="254">
        <f>'project budget'!$F48</f>
        <v>0</v>
      </c>
      <c r="L48" s="327"/>
      <c r="M48" s="254">
        <f>'project budget'!$G48</f>
        <v>0</v>
      </c>
      <c r="N48" s="327"/>
      <c r="O48" s="254">
        <f>'project budget'!$H48</f>
        <v>0</v>
      </c>
      <c r="P48" s="327"/>
      <c r="Q48" s="254">
        <f>'project budget'!$I48</f>
        <v>0</v>
      </c>
      <c r="R48" s="327"/>
      <c r="S48" s="254">
        <f>'project budget'!$J48</f>
        <v>0</v>
      </c>
      <c r="T48" s="327"/>
      <c r="U48" s="254">
        <f>'project budget'!$K48</f>
        <v>0</v>
      </c>
      <c r="V48" s="327"/>
      <c r="W48" s="254">
        <f>'project budget'!$L48</f>
        <v>0</v>
      </c>
      <c r="X48" s="327"/>
      <c r="Y48" s="254">
        <f>'project budget'!$M48</f>
        <v>0</v>
      </c>
      <c r="Z48" s="254">
        <f t="shared" si="7"/>
        <v>0</v>
      </c>
      <c r="AA48" s="254">
        <f t="shared" si="7"/>
        <v>0</v>
      </c>
      <c r="AB48" s="327"/>
      <c r="AC48" s="327"/>
      <c r="AD48" s="254">
        <v>0</v>
      </c>
      <c r="AE48" s="254">
        <f t="shared" si="8"/>
        <v>0</v>
      </c>
    </row>
    <row r="49" spans="1:31" x14ac:dyDescent="0.2">
      <c r="A49" s="481"/>
      <c r="B49" s="2" t="str">
        <f>'sources-uses'!B49</f>
        <v>Construction Loan Interest</v>
      </c>
      <c r="C49" s="255">
        <f>'sources-uses'!C49</f>
        <v>0</v>
      </c>
      <c r="D49" s="327"/>
      <c r="E49" s="254">
        <f t="shared" si="6"/>
        <v>0</v>
      </c>
      <c r="F49" s="327"/>
      <c r="G49" s="254">
        <f>'project budget'!$D49</f>
        <v>0</v>
      </c>
      <c r="H49" s="327"/>
      <c r="I49" s="254">
        <f>'project budget'!$E49</f>
        <v>0</v>
      </c>
      <c r="J49" s="327"/>
      <c r="K49" s="254">
        <f>'project budget'!$F49</f>
        <v>0</v>
      </c>
      <c r="L49" s="327"/>
      <c r="M49" s="254">
        <f>'project budget'!$G49</f>
        <v>0</v>
      </c>
      <c r="N49" s="327"/>
      <c r="O49" s="254">
        <f>'project budget'!$H49</f>
        <v>0</v>
      </c>
      <c r="P49" s="327"/>
      <c r="Q49" s="254">
        <f>'project budget'!$I49</f>
        <v>0</v>
      </c>
      <c r="R49" s="327"/>
      <c r="S49" s="254">
        <f>'project budget'!$J49</f>
        <v>0</v>
      </c>
      <c r="T49" s="327"/>
      <c r="U49" s="254">
        <f>'project budget'!$K49</f>
        <v>0</v>
      </c>
      <c r="V49" s="327"/>
      <c r="W49" s="254">
        <f>'project budget'!$L49</f>
        <v>0</v>
      </c>
      <c r="X49" s="327"/>
      <c r="Y49" s="254">
        <f>'project budget'!$M49</f>
        <v>0</v>
      </c>
      <c r="Z49" s="254">
        <f t="shared" si="7"/>
        <v>0</v>
      </c>
      <c r="AA49" s="254">
        <f t="shared" si="7"/>
        <v>0</v>
      </c>
      <c r="AB49" s="327"/>
      <c r="AC49" s="327"/>
      <c r="AD49" s="254">
        <v>0</v>
      </c>
      <c r="AE49" s="254">
        <f t="shared" si="8"/>
        <v>0</v>
      </c>
    </row>
    <row r="50" spans="1:31" x14ac:dyDescent="0.2">
      <c r="A50" s="481"/>
      <c r="B50" s="2" t="str">
        <f>'sources-uses'!B50</f>
        <v>Construction Loan Origination Fee</v>
      </c>
      <c r="C50" s="255">
        <f>'sources-uses'!C50</f>
        <v>0</v>
      </c>
      <c r="D50" s="327"/>
      <c r="E50" s="254">
        <f>SUM(G50:Y50)</f>
        <v>0</v>
      </c>
      <c r="F50" s="327"/>
      <c r="G50" s="254">
        <f>'project budget'!$D50</f>
        <v>0</v>
      </c>
      <c r="H50" s="327"/>
      <c r="I50" s="254">
        <f>'project budget'!$E50</f>
        <v>0</v>
      </c>
      <c r="J50" s="327"/>
      <c r="K50" s="254">
        <f>'project budget'!$F50</f>
        <v>0</v>
      </c>
      <c r="L50" s="327"/>
      <c r="M50" s="254">
        <f>'project budget'!$G50</f>
        <v>0</v>
      </c>
      <c r="N50" s="327"/>
      <c r="O50" s="254">
        <f>'project budget'!$H50</f>
        <v>0</v>
      </c>
      <c r="P50" s="327"/>
      <c r="Q50" s="254">
        <f>'project budget'!$I50</f>
        <v>0</v>
      </c>
      <c r="R50" s="327"/>
      <c r="S50" s="254">
        <f>'project budget'!$J50</f>
        <v>0</v>
      </c>
      <c r="T50" s="327"/>
      <c r="U50" s="254">
        <f>'project budget'!$K50</f>
        <v>0</v>
      </c>
      <c r="V50" s="327"/>
      <c r="W50" s="254">
        <f>'project budget'!$L50</f>
        <v>0</v>
      </c>
      <c r="X50" s="327"/>
      <c r="Y50" s="254">
        <f>'project budget'!$M50</f>
        <v>0</v>
      </c>
      <c r="Z50" s="254">
        <f t="shared" ref="Z50:AA52" si="9">$C50</f>
        <v>0</v>
      </c>
      <c r="AA50" s="254">
        <f t="shared" si="7"/>
        <v>0</v>
      </c>
      <c r="AB50" s="327"/>
      <c r="AC50" s="327"/>
      <c r="AD50" s="254">
        <v>0</v>
      </c>
      <c r="AE50" s="254">
        <f t="shared" si="8"/>
        <v>0</v>
      </c>
    </row>
    <row r="51" spans="1:31" x14ac:dyDescent="0.2">
      <c r="A51" s="481"/>
      <c r="B51" s="2" t="str">
        <f>'sources-uses'!B51</f>
        <v>Taxes During Construction</v>
      </c>
      <c r="C51" s="255">
        <f>'sources-uses'!C51</f>
        <v>0</v>
      </c>
      <c r="D51" s="323"/>
      <c r="E51" s="254">
        <f t="shared" si="6"/>
        <v>0</v>
      </c>
      <c r="F51" s="323"/>
      <c r="G51" s="254">
        <f>'project budget'!$D51</f>
        <v>0</v>
      </c>
      <c r="H51" s="323"/>
      <c r="I51" s="254">
        <f>'project budget'!$E51</f>
        <v>0</v>
      </c>
      <c r="J51" s="323"/>
      <c r="K51" s="254">
        <f>'project budget'!$F51</f>
        <v>0</v>
      </c>
      <c r="L51" s="323"/>
      <c r="M51" s="254">
        <f>'project budget'!$G51</f>
        <v>0</v>
      </c>
      <c r="N51" s="323"/>
      <c r="O51" s="254">
        <f>'project budget'!$H51</f>
        <v>0</v>
      </c>
      <c r="P51" s="323"/>
      <c r="Q51" s="254">
        <f>'project budget'!$I51</f>
        <v>0</v>
      </c>
      <c r="R51" s="323"/>
      <c r="S51" s="254">
        <f>'project budget'!$J51</f>
        <v>0</v>
      </c>
      <c r="T51" s="323"/>
      <c r="U51" s="254">
        <f>'project budget'!$K51</f>
        <v>0</v>
      </c>
      <c r="V51" s="323"/>
      <c r="W51" s="254">
        <f>'project budget'!$L51</f>
        <v>0</v>
      </c>
      <c r="X51" s="323"/>
      <c r="Y51" s="254">
        <f>'project budget'!$M51</f>
        <v>0</v>
      </c>
      <c r="Z51" s="14">
        <f t="shared" si="9"/>
        <v>0</v>
      </c>
      <c r="AA51" s="14">
        <f t="shared" si="9"/>
        <v>0</v>
      </c>
      <c r="AB51" s="323"/>
      <c r="AC51" s="323"/>
      <c r="AD51" s="14">
        <v>0</v>
      </c>
      <c r="AE51" s="14">
        <f t="shared" si="8"/>
        <v>0</v>
      </c>
    </row>
    <row r="52" spans="1:31" x14ac:dyDescent="0.2">
      <c r="A52" s="481"/>
      <c r="B52" s="2" t="str">
        <f>'sources-uses'!B52</f>
        <v>Clerk of the Works</v>
      </c>
      <c r="C52" s="255">
        <f>'sources-uses'!C52</f>
        <v>0</v>
      </c>
      <c r="D52" s="323"/>
      <c r="E52" s="254">
        <f t="shared" si="6"/>
        <v>0</v>
      </c>
      <c r="F52" s="323"/>
      <c r="G52" s="254">
        <f>'project budget'!$D52</f>
        <v>0</v>
      </c>
      <c r="H52" s="323"/>
      <c r="I52" s="254">
        <f>'project budget'!$E52</f>
        <v>0</v>
      </c>
      <c r="J52" s="323"/>
      <c r="K52" s="254">
        <f>'project budget'!$F52</f>
        <v>0</v>
      </c>
      <c r="L52" s="323"/>
      <c r="M52" s="254">
        <f>'project budget'!$G52</f>
        <v>0</v>
      </c>
      <c r="N52" s="323"/>
      <c r="O52" s="254">
        <f>'project budget'!$H52</f>
        <v>0</v>
      </c>
      <c r="P52" s="323"/>
      <c r="Q52" s="254">
        <f>'project budget'!$I52</f>
        <v>0</v>
      </c>
      <c r="R52" s="323"/>
      <c r="S52" s="254">
        <f>'project budget'!$J52</f>
        <v>0</v>
      </c>
      <c r="T52" s="323"/>
      <c r="U52" s="254">
        <f>'project budget'!$K52</f>
        <v>0</v>
      </c>
      <c r="V52" s="323"/>
      <c r="W52" s="254">
        <f>'project budget'!$L52</f>
        <v>0</v>
      </c>
      <c r="X52" s="323"/>
      <c r="Y52" s="254">
        <f>'project budget'!$M52</f>
        <v>0</v>
      </c>
      <c r="Z52" s="14">
        <f t="shared" si="9"/>
        <v>0</v>
      </c>
      <c r="AA52" s="14">
        <f t="shared" si="9"/>
        <v>0</v>
      </c>
      <c r="AB52" s="323"/>
      <c r="AC52" s="323"/>
      <c r="AD52" s="14">
        <v>0</v>
      </c>
      <c r="AE52" s="14">
        <f t="shared" si="8"/>
        <v>0</v>
      </c>
    </row>
    <row r="53" spans="1:31" x14ac:dyDescent="0.2">
      <c r="A53" s="481"/>
      <c r="B53" s="2" t="str">
        <f>'sources-uses'!B53</f>
        <v>Marketing</v>
      </c>
      <c r="C53" s="255">
        <f>'sources-uses'!C53</f>
        <v>0</v>
      </c>
      <c r="D53" s="323"/>
      <c r="E53" s="323"/>
      <c r="F53" s="323"/>
      <c r="G53" s="323"/>
      <c r="H53" s="323"/>
      <c r="I53" s="323"/>
      <c r="J53" s="323"/>
      <c r="K53" s="323"/>
      <c r="L53" s="323"/>
      <c r="M53" s="323"/>
      <c r="N53" s="323"/>
      <c r="O53" s="323"/>
      <c r="P53" s="323"/>
      <c r="Q53" s="323"/>
      <c r="R53" s="323"/>
      <c r="S53" s="323"/>
      <c r="T53" s="323"/>
      <c r="U53" s="323"/>
      <c r="V53" s="323"/>
      <c r="W53" s="323"/>
      <c r="X53" s="323"/>
      <c r="Y53" s="323"/>
      <c r="Z53" s="323"/>
      <c r="AA53" s="323"/>
      <c r="AB53" s="323"/>
      <c r="AC53" s="323"/>
      <c r="AD53" s="323"/>
      <c r="AE53" s="323"/>
    </row>
    <row r="54" spans="1:31" x14ac:dyDescent="0.2">
      <c r="A54" s="481"/>
      <c r="B54" s="2" t="str">
        <f>'sources-uses'!B54</f>
        <v>Tax Credit Fees</v>
      </c>
      <c r="C54" s="255">
        <f>'sources-uses'!C54</f>
        <v>0</v>
      </c>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row>
    <row r="55" spans="1:31" x14ac:dyDescent="0.2">
      <c r="A55" s="481"/>
      <c r="B55" s="2" t="str">
        <f>'sources-uses'!B55</f>
        <v>Soft Cost Contingency</v>
      </c>
      <c r="C55" s="255">
        <f>'sources-uses'!C55</f>
        <v>0</v>
      </c>
      <c r="D55" s="323"/>
      <c r="E55" s="254">
        <f t="shared" ref="E55:E63" si="10">SUM(G55:Y55)</f>
        <v>0</v>
      </c>
      <c r="F55" s="323"/>
      <c r="G55" s="254">
        <f>'project budget'!$D55</f>
        <v>0</v>
      </c>
      <c r="H55" s="323"/>
      <c r="I55" s="254">
        <f>'project budget'!$E55</f>
        <v>0</v>
      </c>
      <c r="J55" s="323"/>
      <c r="K55" s="254">
        <f>'project budget'!$F55</f>
        <v>0</v>
      </c>
      <c r="L55" s="323"/>
      <c r="M55" s="254">
        <f>'project budget'!$G55</f>
        <v>0</v>
      </c>
      <c r="N55" s="323"/>
      <c r="O55" s="254">
        <f>'project budget'!$H55</f>
        <v>0</v>
      </c>
      <c r="P55" s="323"/>
      <c r="Q55" s="254">
        <f>'project budget'!$I55</f>
        <v>0</v>
      </c>
      <c r="R55" s="323"/>
      <c r="S55" s="254">
        <f>'project budget'!$J55</f>
        <v>0</v>
      </c>
      <c r="T55" s="323"/>
      <c r="U55" s="254">
        <f>'project budget'!$K55</f>
        <v>0</v>
      </c>
      <c r="V55" s="323"/>
      <c r="W55" s="254">
        <f>'project budget'!$L55</f>
        <v>0</v>
      </c>
      <c r="X55" s="323"/>
      <c r="Y55" s="254">
        <f>'project budget'!$M55</f>
        <v>0</v>
      </c>
      <c r="Z55" s="14">
        <f>$C55</f>
        <v>0</v>
      </c>
      <c r="AA55" s="14">
        <f t="shared" ref="Z55:AA65" si="11">$C55</f>
        <v>0</v>
      </c>
      <c r="AB55" s="323"/>
      <c r="AC55" s="323"/>
      <c r="AD55" s="14">
        <v>0</v>
      </c>
      <c r="AE55" s="14">
        <f t="shared" si="8"/>
        <v>0</v>
      </c>
    </row>
    <row r="56" spans="1:31" x14ac:dyDescent="0.2">
      <c r="A56" s="481"/>
      <c r="B56" s="2" t="str">
        <f>'sources-uses'!B56</f>
        <v>Permanent Loan Origination Fee</v>
      </c>
      <c r="C56" s="255">
        <f>'sources-uses'!C56</f>
        <v>0</v>
      </c>
      <c r="D56" s="323"/>
      <c r="E56" s="323"/>
      <c r="F56" s="323"/>
      <c r="G56" s="323"/>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row>
    <row r="57" spans="1:31" x14ac:dyDescent="0.2">
      <c r="A57" s="481"/>
      <c r="B57" s="2" t="str">
        <f>'sources-uses'!B57</f>
        <v>Lender's Counsel's Fee</v>
      </c>
      <c r="C57" s="255">
        <f>'sources-uses'!C57</f>
        <v>0</v>
      </c>
      <c r="D57" s="323"/>
      <c r="E57" s="254">
        <f t="shared" si="10"/>
        <v>0</v>
      </c>
      <c r="F57" s="323"/>
      <c r="G57" s="254">
        <f>'project budget'!$D57</f>
        <v>0</v>
      </c>
      <c r="H57" s="323"/>
      <c r="I57" s="254">
        <f>'project budget'!$E57</f>
        <v>0</v>
      </c>
      <c r="J57" s="323"/>
      <c r="K57" s="254">
        <f>'project budget'!$F57</f>
        <v>0</v>
      </c>
      <c r="L57" s="323"/>
      <c r="M57" s="254">
        <f>'project budget'!$G57</f>
        <v>0</v>
      </c>
      <c r="N57" s="323"/>
      <c r="O57" s="254">
        <f>'project budget'!$H57</f>
        <v>0</v>
      </c>
      <c r="P57" s="323"/>
      <c r="Q57" s="254">
        <f>'project budget'!$I57</f>
        <v>0</v>
      </c>
      <c r="R57" s="323"/>
      <c r="S57" s="254">
        <f>'project budget'!$J57</f>
        <v>0</v>
      </c>
      <c r="T57" s="323"/>
      <c r="U57" s="254">
        <f>'project budget'!$K57</f>
        <v>0</v>
      </c>
      <c r="V57" s="323"/>
      <c r="W57" s="254">
        <f>'project budget'!$L57</f>
        <v>0</v>
      </c>
      <c r="X57" s="323"/>
      <c r="Y57" s="254">
        <f>'project budget'!$M57</f>
        <v>0</v>
      </c>
      <c r="Z57" s="14">
        <f t="shared" si="11"/>
        <v>0</v>
      </c>
      <c r="AA57" s="14">
        <f t="shared" si="11"/>
        <v>0</v>
      </c>
      <c r="AB57" s="323"/>
      <c r="AC57" s="323"/>
      <c r="AD57" s="14">
        <v>0</v>
      </c>
      <c r="AE57" s="14">
        <f t="shared" si="8"/>
        <v>0</v>
      </c>
    </row>
    <row r="58" spans="1:31" outlineLevel="1" x14ac:dyDescent="0.2">
      <c r="A58" s="481"/>
      <c r="B58" s="316" t="str">
        <f>'sources-uses'!B58</f>
        <v>[Additional Field - Specify]</v>
      </c>
      <c r="C58" s="255">
        <f>'sources-uses'!C58</f>
        <v>0</v>
      </c>
      <c r="D58" s="323"/>
      <c r="E58" s="254">
        <f t="shared" si="10"/>
        <v>0</v>
      </c>
      <c r="F58" s="323"/>
      <c r="G58" s="254">
        <f>'project budget'!$D58</f>
        <v>0</v>
      </c>
      <c r="H58" s="323"/>
      <c r="I58" s="254">
        <f>'project budget'!$E58</f>
        <v>0</v>
      </c>
      <c r="J58" s="323"/>
      <c r="K58" s="254">
        <f>'project budget'!$F58</f>
        <v>0</v>
      </c>
      <c r="L58" s="323"/>
      <c r="M58" s="254">
        <f>'project budget'!$G58</f>
        <v>0</v>
      </c>
      <c r="N58" s="323"/>
      <c r="O58" s="254">
        <f>'project budget'!$H58</f>
        <v>0</v>
      </c>
      <c r="P58" s="323"/>
      <c r="Q58" s="254">
        <f>'project budget'!$I58</f>
        <v>0</v>
      </c>
      <c r="R58" s="323"/>
      <c r="S58" s="254">
        <f>'project budget'!$J58</f>
        <v>0</v>
      </c>
      <c r="T58" s="323"/>
      <c r="U58" s="254">
        <f>'project budget'!$K58</f>
        <v>0</v>
      </c>
      <c r="V58" s="323"/>
      <c r="W58" s="254">
        <f>'project budget'!$L58</f>
        <v>0</v>
      </c>
      <c r="X58" s="323"/>
      <c r="Y58" s="254">
        <f>'project budget'!$M58</f>
        <v>0</v>
      </c>
      <c r="Z58" s="14">
        <f t="shared" si="11"/>
        <v>0</v>
      </c>
      <c r="AA58" s="14">
        <f t="shared" si="11"/>
        <v>0</v>
      </c>
      <c r="AB58" s="323"/>
      <c r="AC58" s="323"/>
      <c r="AD58" s="14">
        <v>0</v>
      </c>
      <c r="AE58" s="14">
        <f t="shared" si="8"/>
        <v>0</v>
      </c>
    </row>
    <row r="59" spans="1:31" outlineLevel="1" x14ac:dyDescent="0.2">
      <c r="A59" s="481"/>
      <c r="B59" s="316" t="str">
        <f>'sources-uses'!B59</f>
        <v>[Additional Field - Specify]</v>
      </c>
      <c r="C59" s="255">
        <f>'sources-uses'!C59</f>
        <v>0</v>
      </c>
      <c r="D59" s="323"/>
      <c r="E59" s="254">
        <f t="shared" si="10"/>
        <v>0</v>
      </c>
      <c r="F59" s="323"/>
      <c r="G59" s="254">
        <f>'project budget'!$D59</f>
        <v>0</v>
      </c>
      <c r="H59" s="323"/>
      <c r="I59" s="254">
        <f>'project budget'!$E59</f>
        <v>0</v>
      </c>
      <c r="J59" s="323"/>
      <c r="K59" s="254">
        <f>'project budget'!$F59</f>
        <v>0</v>
      </c>
      <c r="L59" s="323"/>
      <c r="M59" s="254">
        <f>'project budget'!$G59</f>
        <v>0</v>
      </c>
      <c r="N59" s="323"/>
      <c r="O59" s="254">
        <f>'project budget'!$H59</f>
        <v>0</v>
      </c>
      <c r="P59" s="323"/>
      <c r="Q59" s="254">
        <f>'project budget'!$I59</f>
        <v>0</v>
      </c>
      <c r="R59" s="323"/>
      <c r="S59" s="254">
        <f>'project budget'!$J59</f>
        <v>0</v>
      </c>
      <c r="T59" s="323"/>
      <c r="U59" s="254">
        <f>'project budget'!$K59</f>
        <v>0</v>
      </c>
      <c r="V59" s="323"/>
      <c r="W59" s="254">
        <f>'project budget'!$L59</f>
        <v>0</v>
      </c>
      <c r="X59" s="323"/>
      <c r="Y59" s="254">
        <f>'project budget'!$M59</f>
        <v>0</v>
      </c>
      <c r="Z59" s="14">
        <f t="shared" si="11"/>
        <v>0</v>
      </c>
      <c r="AA59" s="14">
        <f t="shared" si="11"/>
        <v>0</v>
      </c>
      <c r="AB59" s="323"/>
      <c r="AC59" s="323"/>
      <c r="AD59" s="14">
        <v>0</v>
      </c>
      <c r="AE59" s="14">
        <f t="shared" si="8"/>
        <v>0</v>
      </c>
    </row>
    <row r="60" spans="1:31" outlineLevel="1" x14ac:dyDescent="0.2">
      <c r="A60" s="481"/>
      <c r="B60" s="316" t="str">
        <f>'sources-uses'!B60</f>
        <v>[Additional Field - Specify]</v>
      </c>
      <c r="C60" s="255">
        <f>'sources-uses'!C60</f>
        <v>0</v>
      </c>
      <c r="D60" s="323"/>
      <c r="E60" s="254">
        <f t="shared" si="10"/>
        <v>0</v>
      </c>
      <c r="F60" s="323"/>
      <c r="G60" s="254">
        <f>'project budget'!$D60</f>
        <v>0</v>
      </c>
      <c r="H60" s="323"/>
      <c r="I60" s="254">
        <f>'project budget'!$E60</f>
        <v>0</v>
      </c>
      <c r="J60" s="323"/>
      <c r="K60" s="254">
        <f>'project budget'!$F60</f>
        <v>0</v>
      </c>
      <c r="L60" s="323"/>
      <c r="M60" s="254">
        <f>'project budget'!$G60</f>
        <v>0</v>
      </c>
      <c r="N60" s="323"/>
      <c r="O60" s="254">
        <f>'project budget'!$H60</f>
        <v>0</v>
      </c>
      <c r="P60" s="323"/>
      <c r="Q60" s="254">
        <f>'project budget'!$I60</f>
        <v>0</v>
      </c>
      <c r="R60" s="323"/>
      <c r="S60" s="254">
        <f>'project budget'!$J60</f>
        <v>0</v>
      </c>
      <c r="T60" s="323"/>
      <c r="U60" s="254">
        <f>'project budget'!$K60</f>
        <v>0</v>
      </c>
      <c r="V60" s="323"/>
      <c r="W60" s="254">
        <f>'project budget'!$L60</f>
        <v>0</v>
      </c>
      <c r="X60" s="323"/>
      <c r="Y60" s="254">
        <f>'project budget'!$M60</f>
        <v>0</v>
      </c>
      <c r="Z60" s="14">
        <f t="shared" si="11"/>
        <v>0</v>
      </c>
      <c r="AA60" s="14">
        <f t="shared" si="11"/>
        <v>0</v>
      </c>
      <c r="AB60" s="323"/>
      <c r="AC60" s="323"/>
      <c r="AD60" s="14">
        <v>0</v>
      </c>
      <c r="AE60" s="14">
        <f t="shared" si="8"/>
        <v>0</v>
      </c>
    </row>
    <row r="61" spans="1:31" outlineLevel="2" x14ac:dyDescent="0.2">
      <c r="A61" s="481"/>
      <c r="B61" s="316" t="str">
        <f>'sources-uses'!B61</f>
        <v>[Additional Field - Specify]</v>
      </c>
      <c r="C61" s="255">
        <f>'sources-uses'!C61</f>
        <v>0</v>
      </c>
      <c r="D61" s="323"/>
      <c r="E61" s="254">
        <f t="shared" si="10"/>
        <v>0</v>
      </c>
      <c r="F61" s="323"/>
      <c r="G61" s="254">
        <f>'project budget'!$D61</f>
        <v>0</v>
      </c>
      <c r="H61" s="323"/>
      <c r="I61" s="254">
        <f>'project budget'!$E61</f>
        <v>0</v>
      </c>
      <c r="J61" s="323"/>
      <c r="K61" s="254">
        <f>'project budget'!$F61</f>
        <v>0</v>
      </c>
      <c r="L61" s="323"/>
      <c r="M61" s="254">
        <f>'project budget'!$G61</f>
        <v>0</v>
      </c>
      <c r="N61" s="323"/>
      <c r="O61" s="254">
        <f>'project budget'!$H61</f>
        <v>0</v>
      </c>
      <c r="P61" s="323"/>
      <c r="Q61" s="254">
        <f>'project budget'!$I61</f>
        <v>0</v>
      </c>
      <c r="R61" s="323"/>
      <c r="S61" s="254">
        <f>'project budget'!$J61</f>
        <v>0</v>
      </c>
      <c r="T61" s="323"/>
      <c r="U61" s="254">
        <f>'project budget'!$K61</f>
        <v>0</v>
      </c>
      <c r="V61" s="323"/>
      <c r="W61" s="254">
        <f>'project budget'!$L61</f>
        <v>0</v>
      </c>
      <c r="X61" s="323"/>
      <c r="Y61" s="254">
        <f>'project budget'!$M61</f>
        <v>0</v>
      </c>
      <c r="Z61" s="14">
        <f t="shared" si="11"/>
        <v>0</v>
      </c>
      <c r="AA61" s="14">
        <f t="shared" si="11"/>
        <v>0</v>
      </c>
      <c r="AB61" s="323"/>
      <c r="AC61" s="323"/>
      <c r="AD61" s="14">
        <v>0</v>
      </c>
      <c r="AE61" s="14">
        <f t="shared" si="8"/>
        <v>0</v>
      </c>
    </row>
    <row r="62" spans="1:31" outlineLevel="2" x14ac:dyDescent="0.2">
      <c r="A62" s="481"/>
      <c r="B62" s="316" t="str">
        <f>'sources-uses'!B62</f>
        <v>[Additional Field - Specify]</v>
      </c>
      <c r="C62" s="255">
        <f>'sources-uses'!C62</f>
        <v>0</v>
      </c>
      <c r="D62" s="323"/>
      <c r="E62" s="254">
        <f t="shared" si="10"/>
        <v>0</v>
      </c>
      <c r="F62" s="323"/>
      <c r="G62" s="254">
        <f>'project budget'!$D62</f>
        <v>0</v>
      </c>
      <c r="H62" s="323"/>
      <c r="I62" s="254">
        <f>'project budget'!$E62</f>
        <v>0</v>
      </c>
      <c r="J62" s="323"/>
      <c r="K62" s="254">
        <f>'project budget'!$F62</f>
        <v>0</v>
      </c>
      <c r="L62" s="323"/>
      <c r="M62" s="254">
        <f>'project budget'!$G62</f>
        <v>0</v>
      </c>
      <c r="N62" s="323"/>
      <c r="O62" s="254">
        <f>'project budget'!$H62</f>
        <v>0</v>
      </c>
      <c r="P62" s="323"/>
      <c r="Q62" s="254">
        <f>'project budget'!$I62</f>
        <v>0</v>
      </c>
      <c r="R62" s="323"/>
      <c r="S62" s="254">
        <f>'project budget'!$J62</f>
        <v>0</v>
      </c>
      <c r="T62" s="323"/>
      <c r="U62" s="254">
        <f>'project budget'!$K62</f>
        <v>0</v>
      </c>
      <c r="V62" s="323"/>
      <c r="W62" s="254">
        <f>'project budget'!$L62</f>
        <v>0</v>
      </c>
      <c r="X62" s="323"/>
      <c r="Y62" s="254">
        <f>'project budget'!$M62</f>
        <v>0</v>
      </c>
      <c r="Z62" s="14">
        <f t="shared" si="11"/>
        <v>0</v>
      </c>
      <c r="AA62" s="14">
        <f t="shared" si="11"/>
        <v>0</v>
      </c>
      <c r="AB62" s="323"/>
      <c r="AC62" s="323"/>
      <c r="AD62" s="14">
        <v>0</v>
      </c>
      <c r="AE62" s="14">
        <f t="shared" si="8"/>
        <v>0</v>
      </c>
    </row>
    <row r="63" spans="1:31" outlineLevel="2" x14ac:dyDescent="0.2">
      <c r="A63" s="481"/>
      <c r="B63" s="316" t="str">
        <f>'sources-uses'!B63</f>
        <v>[Additional Field - Specify]</v>
      </c>
      <c r="C63" s="255">
        <f>'sources-uses'!C63</f>
        <v>0</v>
      </c>
      <c r="D63" s="323"/>
      <c r="E63" s="254">
        <f t="shared" si="10"/>
        <v>0</v>
      </c>
      <c r="F63" s="323"/>
      <c r="G63" s="254">
        <f>'project budget'!$D63</f>
        <v>0</v>
      </c>
      <c r="H63" s="323"/>
      <c r="I63" s="254">
        <f>'project budget'!$E63</f>
        <v>0</v>
      </c>
      <c r="J63" s="323"/>
      <c r="K63" s="254">
        <f>'project budget'!$F63</f>
        <v>0</v>
      </c>
      <c r="L63" s="323"/>
      <c r="M63" s="254">
        <f>'project budget'!$G63</f>
        <v>0</v>
      </c>
      <c r="N63" s="323"/>
      <c r="O63" s="254">
        <f>'project budget'!$H63</f>
        <v>0</v>
      </c>
      <c r="P63" s="323"/>
      <c r="Q63" s="254">
        <f>'project budget'!$I63</f>
        <v>0</v>
      </c>
      <c r="R63" s="323"/>
      <c r="S63" s="254">
        <f>'project budget'!$J63</f>
        <v>0</v>
      </c>
      <c r="T63" s="323"/>
      <c r="U63" s="254">
        <f>'project budget'!$K63</f>
        <v>0</v>
      </c>
      <c r="V63" s="323"/>
      <c r="W63" s="254">
        <f>'project budget'!$L63</f>
        <v>0</v>
      </c>
      <c r="X63" s="323"/>
      <c r="Y63" s="254">
        <f>'project budget'!$M63</f>
        <v>0</v>
      </c>
      <c r="Z63" s="14">
        <f t="shared" si="11"/>
        <v>0</v>
      </c>
      <c r="AA63" s="14">
        <f t="shared" si="11"/>
        <v>0</v>
      </c>
      <c r="AB63" s="323"/>
      <c r="AC63" s="323"/>
      <c r="AD63" s="14">
        <v>0</v>
      </c>
      <c r="AE63" s="14">
        <f t="shared" si="8"/>
        <v>0</v>
      </c>
    </row>
    <row r="64" spans="1:31" outlineLevel="2" x14ac:dyDescent="0.2">
      <c r="A64" s="481"/>
      <c r="B64" s="316" t="str">
        <f>'sources-uses'!B64</f>
        <v>[Additional Field - Specify]</v>
      </c>
      <c r="C64" s="255">
        <f>'sources-uses'!C64</f>
        <v>0</v>
      </c>
      <c r="D64" s="323"/>
      <c r="E64" s="254">
        <f>SUM(G64:Y64)</f>
        <v>0</v>
      </c>
      <c r="F64" s="323"/>
      <c r="G64" s="254">
        <f>'project budget'!$D64</f>
        <v>0</v>
      </c>
      <c r="H64" s="323"/>
      <c r="I64" s="254">
        <f>'project budget'!$E64</f>
        <v>0</v>
      </c>
      <c r="J64" s="323"/>
      <c r="K64" s="254">
        <f>'project budget'!$F64</f>
        <v>0</v>
      </c>
      <c r="L64" s="323"/>
      <c r="M64" s="254">
        <f>'project budget'!$G64</f>
        <v>0</v>
      </c>
      <c r="N64" s="323"/>
      <c r="O64" s="254">
        <f>'project budget'!$H64</f>
        <v>0</v>
      </c>
      <c r="P64" s="323"/>
      <c r="Q64" s="254">
        <f>'project budget'!$I64</f>
        <v>0</v>
      </c>
      <c r="R64" s="323"/>
      <c r="S64" s="254">
        <f>'project budget'!$J64</f>
        <v>0</v>
      </c>
      <c r="T64" s="323"/>
      <c r="U64" s="254">
        <f>'project budget'!$K64</f>
        <v>0</v>
      </c>
      <c r="V64" s="323"/>
      <c r="W64" s="254">
        <f>'project budget'!$L64</f>
        <v>0</v>
      </c>
      <c r="X64" s="323"/>
      <c r="Y64" s="254">
        <f>'project budget'!$M64</f>
        <v>0</v>
      </c>
      <c r="Z64" s="14">
        <f t="shared" si="11"/>
        <v>0</v>
      </c>
      <c r="AA64" s="14">
        <f t="shared" si="11"/>
        <v>0</v>
      </c>
      <c r="AB64" s="323"/>
      <c r="AC64" s="323"/>
      <c r="AD64" s="14">
        <v>0</v>
      </c>
      <c r="AE64" s="14">
        <f t="shared" si="8"/>
        <v>0</v>
      </c>
    </row>
    <row r="65" spans="1:31" outlineLevel="2" x14ac:dyDescent="0.2">
      <c r="A65" s="481"/>
      <c r="B65" s="316" t="str">
        <f>'sources-uses'!B65</f>
        <v>[Additional Field - Specify]</v>
      </c>
      <c r="C65" s="255">
        <f>'sources-uses'!C65</f>
        <v>0</v>
      </c>
      <c r="D65" s="323"/>
      <c r="E65" s="254">
        <f>SUM(G65:Y65)</f>
        <v>0</v>
      </c>
      <c r="F65" s="323"/>
      <c r="G65" s="254">
        <f>'project budget'!$D65</f>
        <v>0</v>
      </c>
      <c r="H65" s="323"/>
      <c r="I65" s="254">
        <f>'project budget'!$E65</f>
        <v>0</v>
      </c>
      <c r="J65" s="323"/>
      <c r="K65" s="254">
        <f>'project budget'!$F65</f>
        <v>0</v>
      </c>
      <c r="L65" s="323"/>
      <c r="M65" s="254">
        <f>'project budget'!$G65</f>
        <v>0</v>
      </c>
      <c r="N65" s="323"/>
      <c r="O65" s="254">
        <f>'project budget'!$H65</f>
        <v>0</v>
      </c>
      <c r="P65" s="323"/>
      <c r="Q65" s="254">
        <f>'project budget'!$I65</f>
        <v>0</v>
      </c>
      <c r="R65" s="323"/>
      <c r="S65" s="254">
        <f>'project budget'!$J65</f>
        <v>0</v>
      </c>
      <c r="T65" s="323"/>
      <c r="U65" s="254">
        <f>'project budget'!$K65</f>
        <v>0</v>
      </c>
      <c r="V65" s="323"/>
      <c r="W65" s="254">
        <f>'project budget'!$L65</f>
        <v>0</v>
      </c>
      <c r="X65" s="323"/>
      <c r="Y65" s="254">
        <f>'project budget'!$M65</f>
        <v>0</v>
      </c>
      <c r="Z65" s="14">
        <f t="shared" si="11"/>
        <v>0</v>
      </c>
      <c r="AA65" s="14">
        <f t="shared" si="11"/>
        <v>0</v>
      </c>
      <c r="AB65" s="323"/>
      <c r="AC65" s="323"/>
      <c r="AD65" s="14">
        <v>0</v>
      </c>
      <c r="AE65" s="14">
        <f t="shared" si="8"/>
        <v>0</v>
      </c>
    </row>
    <row r="66" spans="1:31" x14ac:dyDescent="0.2">
      <c r="A66" s="481"/>
      <c r="B66" s="3" t="s">
        <v>162</v>
      </c>
      <c r="C66" s="193">
        <f>'sources-uses'!C66</f>
        <v>0</v>
      </c>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row>
    <row r="67" spans="1:31" x14ac:dyDescent="0.2">
      <c r="A67" s="481"/>
      <c r="B67" s="3" t="str">
        <f>'sources-uses'!B67</f>
        <v>SYNDICATION COSTS</v>
      </c>
      <c r="C67" s="220"/>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row>
    <row r="68" spans="1:31" x14ac:dyDescent="0.2">
      <c r="A68" s="481"/>
      <c r="B68" s="2" t="str">
        <f>'sources-uses'!B68</f>
        <v>Organizational (Partnership)</v>
      </c>
      <c r="C68" s="193">
        <f>'sources-uses'!C68</f>
        <v>0</v>
      </c>
      <c r="D68" s="323"/>
      <c r="E68" s="323"/>
      <c r="F68" s="323"/>
      <c r="G68" s="323"/>
      <c r="H68" s="323"/>
      <c r="I68" s="323"/>
      <c r="J68" s="323"/>
      <c r="K68" s="323"/>
      <c r="L68" s="323"/>
      <c r="M68" s="323"/>
      <c r="N68" s="323"/>
      <c r="O68" s="323"/>
      <c r="P68" s="323"/>
      <c r="Q68" s="323"/>
      <c r="R68" s="323"/>
      <c r="S68" s="323"/>
      <c r="T68" s="323"/>
      <c r="U68" s="323"/>
      <c r="V68" s="323"/>
      <c r="W68" s="323"/>
      <c r="X68" s="323"/>
      <c r="Y68" s="323"/>
      <c r="Z68" s="323"/>
      <c r="AA68" s="323"/>
      <c r="AB68" s="323"/>
      <c r="AC68" s="323"/>
      <c r="AD68" s="323"/>
      <c r="AE68" s="323"/>
    </row>
    <row r="69" spans="1:31" x14ac:dyDescent="0.2">
      <c r="A69" s="481"/>
      <c r="B69" s="2" t="str">
        <f>'sources-uses'!B69</f>
        <v>Bridge Loan Fees and Expenses</v>
      </c>
      <c r="C69" s="193">
        <f>'sources-uses'!C69</f>
        <v>0</v>
      </c>
      <c r="D69" s="323"/>
      <c r="E69" s="323"/>
      <c r="F69" s="323"/>
      <c r="G69" s="323"/>
      <c r="H69" s="323"/>
      <c r="I69" s="323"/>
      <c r="J69" s="323"/>
      <c r="K69" s="323"/>
      <c r="L69" s="323"/>
      <c r="M69" s="323"/>
      <c r="N69" s="323"/>
      <c r="O69" s="323"/>
      <c r="P69" s="323"/>
      <c r="Q69" s="323"/>
      <c r="R69" s="323"/>
      <c r="S69" s="323"/>
      <c r="T69" s="323"/>
      <c r="U69" s="323"/>
      <c r="V69" s="323"/>
      <c r="W69" s="323"/>
      <c r="X69" s="323"/>
      <c r="Y69" s="323"/>
      <c r="Z69" s="323"/>
      <c r="AA69" s="323"/>
      <c r="AB69" s="323"/>
      <c r="AC69" s="323"/>
      <c r="AD69" s="323"/>
      <c r="AE69" s="323"/>
    </row>
    <row r="70" spans="1:31" x14ac:dyDescent="0.2">
      <c r="A70" s="481"/>
      <c r="B70" s="2" t="str">
        <f>'sources-uses'!B70</f>
        <v>Syndication Consultant</v>
      </c>
      <c r="C70" s="193">
        <f>'sources-uses'!C70</f>
        <v>0</v>
      </c>
      <c r="D70" s="323"/>
      <c r="E70" s="323"/>
      <c r="F70" s="323"/>
      <c r="G70" s="323"/>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row>
    <row r="71" spans="1:31" x14ac:dyDescent="0.2">
      <c r="A71" s="481"/>
      <c r="B71" s="2" t="str">
        <f>'sources-uses'!B71</f>
        <v>Tax Opinion</v>
      </c>
      <c r="C71" s="193">
        <f>'sources-uses'!C71</f>
        <v>0</v>
      </c>
      <c r="D71" s="323"/>
      <c r="E71" s="323"/>
      <c r="F71" s="323"/>
      <c r="G71" s="323"/>
      <c r="H71" s="323"/>
      <c r="I71" s="323"/>
      <c r="J71" s="323"/>
      <c r="K71" s="323"/>
      <c r="L71" s="323"/>
      <c r="M71" s="323"/>
      <c r="N71" s="323"/>
      <c r="O71" s="323"/>
      <c r="P71" s="323"/>
      <c r="Q71" s="323"/>
      <c r="R71" s="323"/>
      <c r="S71" s="323"/>
      <c r="T71" s="323"/>
      <c r="U71" s="323"/>
      <c r="V71" s="323"/>
      <c r="W71" s="323"/>
      <c r="X71" s="323"/>
      <c r="Y71" s="323"/>
      <c r="Z71" s="323"/>
      <c r="AA71" s="323"/>
      <c r="AB71" s="323"/>
      <c r="AC71" s="323"/>
      <c r="AD71" s="323"/>
      <c r="AE71" s="323"/>
    </row>
    <row r="72" spans="1:31" outlineLevel="1" x14ac:dyDescent="0.2">
      <c r="A72" s="481"/>
      <c r="B72" s="316" t="str">
        <f>'sources-uses'!B72</f>
        <v>[Additional Field - Specify]</v>
      </c>
      <c r="C72" s="193">
        <f>'sources-uses'!C72</f>
        <v>0</v>
      </c>
      <c r="D72" s="323"/>
      <c r="E72" s="323"/>
      <c r="F72" s="323"/>
      <c r="G72" s="323"/>
      <c r="H72" s="323"/>
      <c r="I72" s="323"/>
      <c r="J72" s="323"/>
      <c r="K72" s="323"/>
      <c r="L72" s="323"/>
      <c r="M72" s="323"/>
      <c r="N72" s="323"/>
      <c r="O72" s="323"/>
      <c r="P72" s="323"/>
      <c r="Q72" s="323"/>
      <c r="R72" s="323"/>
      <c r="S72" s="323"/>
      <c r="T72" s="323"/>
      <c r="U72" s="323"/>
      <c r="V72" s="323"/>
      <c r="W72" s="323"/>
      <c r="X72" s="323"/>
      <c r="Y72" s="323"/>
      <c r="Z72" s="323"/>
      <c r="AA72" s="323"/>
      <c r="AB72" s="323"/>
      <c r="AC72" s="323"/>
      <c r="AD72" s="323"/>
      <c r="AE72" s="323"/>
    </row>
    <row r="73" spans="1:31" outlineLevel="1" x14ac:dyDescent="0.2">
      <c r="A73" s="481"/>
      <c r="B73" s="316" t="str">
        <f>'sources-uses'!B73</f>
        <v>[Additional Field - Specify]</v>
      </c>
      <c r="C73" s="193">
        <f>'sources-uses'!C73</f>
        <v>0</v>
      </c>
      <c r="D73" s="323"/>
      <c r="E73" s="323"/>
      <c r="F73" s="323"/>
      <c r="G73" s="323"/>
      <c r="H73" s="323"/>
      <c r="I73" s="323"/>
      <c r="J73" s="323"/>
      <c r="K73" s="323"/>
      <c r="L73" s="323"/>
      <c r="M73" s="323"/>
      <c r="N73" s="323"/>
      <c r="O73" s="323"/>
      <c r="P73" s="323"/>
      <c r="Q73" s="323"/>
      <c r="R73" s="323"/>
      <c r="S73" s="323"/>
      <c r="T73" s="323"/>
      <c r="U73" s="323"/>
      <c r="V73" s="323"/>
      <c r="W73" s="323"/>
      <c r="X73" s="323"/>
      <c r="Y73" s="323"/>
      <c r="Z73" s="323"/>
      <c r="AA73" s="323"/>
      <c r="AB73" s="323"/>
      <c r="AC73" s="323"/>
      <c r="AD73" s="323"/>
      <c r="AE73" s="323"/>
    </row>
    <row r="74" spans="1:31" outlineLevel="1" x14ac:dyDescent="0.2">
      <c r="A74" s="481"/>
      <c r="B74" s="316" t="str">
        <f>'sources-uses'!B74</f>
        <v>[Additional Field - Specify]</v>
      </c>
      <c r="C74" s="193">
        <f>'sources-uses'!C74</f>
        <v>0</v>
      </c>
      <c r="D74" s="323"/>
      <c r="E74" s="323"/>
      <c r="F74" s="323"/>
      <c r="G74" s="323"/>
      <c r="H74" s="323"/>
      <c r="I74" s="323"/>
      <c r="J74" s="323"/>
      <c r="K74" s="323"/>
      <c r="L74" s="323"/>
      <c r="M74" s="323"/>
      <c r="N74" s="323"/>
      <c r="O74" s="323"/>
      <c r="P74" s="323"/>
      <c r="Q74" s="323"/>
      <c r="R74" s="323"/>
      <c r="S74" s="323"/>
      <c r="T74" s="323"/>
      <c r="U74" s="323"/>
      <c r="V74" s="323"/>
      <c r="W74" s="323"/>
      <c r="X74" s="323"/>
      <c r="Y74" s="323"/>
      <c r="Z74" s="323"/>
      <c r="AA74" s="323"/>
      <c r="AB74" s="323"/>
      <c r="AC74" s="323"/>
      <c r="AD74" s="323"/>
      <c r="AE74" s="323"/>
    </row>
    <row r="75" spans="1:31" x14ac:dyDescent="0.2">
      <c r="A75" s="481"/>
      <c r="B75" s="464" t="s">
        <v>168</v>
      </c>
      <c r="C75" s="223">
        <f>'sources-uses'!C75</f>
        <v>0</v>
      </c>
      <c r="D75" s="323"/>
      <c r="E75" s="323"/>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row>
    <row r="76" spans="1:31" x14ac:dyDescent="0.2">
      <c r="A76" s="481"/>
      <c r="B76" s="3" t="str">
        <f>'sources-uses'!B76</f>
        <v>DEVELOPER'S FEES</v>
      </c>
      <c r="C76" s="220"/>
      <c r="D76" s="323"/>
      <c r="E76" s="323"/>
      <c r="F76" s="323"/>
      <c r="G76" s="323"/>
      <c r="H76" s="323"/>
      <c r="I76" s="323"/>
      <c r="J76" s="323"/>
      <c r="K76" s="323"/>
      <c r="L76" s="323"/>
      <c r="M76" s="323"/>
      <c r="N76" s="323"/>
      <c r="O76" s="323"/>
      <c r="P76" s="323"/>
      <c r="Q76" s="323"/>
      <c r="R76" s="323"/>
      <c r="S76" s="323"/>
      <c r="T76" s="323"/>
      <c r="U76" s="323"/>
      <c r="V76" s="323"/>
      <c r="W76" s="323"/>
      <c r="X76" s="323"/>
      <c r="Y76" s="323"/>
      <c r="Z76" s="323"/>
      <c r="AA76" s="323"/>
      <c r="AB76" s="323"/>
      <c r="AC76" s="323"/>
      <c r="AD76" s="323"/>
      <c r="AE76" s="323"/>
    </row>
    <row r="77" spans="1:31" x14ac:dyDescent="0.2">
      <c r="A77" s="481"/>
      <c r="B77" s="2" t="str">
        <f>'sources-uses'!B77</f>
        <v>Developer's Fees</v>
      </c>
      <c r="C77" s="193">
        <f>'sources-uses'!C77</f>
        <v>0</v>
      </c>
      <c r="D77" s="323"/>
      <c r="E77" s="254">
        <f>SUM(G77:Y77)</f>
        <v>0</v>
      </c>
      <c r="F77" s="323"/>
      <c r="G77" s="14">
        <f>'project budget'!$D77</f>
        <v>0</v>
      </c>
      <c r="H77" s="323"/>
      <c r="I77" s="14">
        <f>'project budget'!$E77</f>
        <v>0</v>
      </c>
      <c r="J77" s="323"/>
      <c r="K77" s="14">
        <f>'project budget'!$F77</f>
        <v>0</v>
      </c>
      <c r="L77" s="323"/>
      <c r="M77" s="14">
        <f>'project budget'!$G77</f>
        <v>0</v>
      </c>
      <c r="N77" s="323"/>
      <c r="O77" s="14">
        <f>'project budget'!$H77</f>
        <v>0</v>
      </c>
      <c r="P77" s="323"/>
      <c r="Q77" s="14">
        <f>'project budget'!$I77</f>
        <v>0</v>
      </c>
      <c r="R77" s="323"/>
      <c r="S77" s="14">
        <f>'project budget'!$J77</f>
        <v>0</v>
      </c>
      <c r="T77" s="323"/>
      <c r="U77" s="14">
        <f>'project budget'!$K77</f>
        <v>0</v>
      </c>
      <c r="V77" s="323"/>
      <c r="W77" s="14">
        <f>'project budget'!$L77</f>
        <v>0</v>
      </c>
      <c r="X77" s="323"/>
      <c r="Y77" s="14">
        <f>'project budget'!$M77</f>
        <v>0</v>
      </c>
      <c r="Z77" s="14">
        <f t="shared" ref="Z77:AA82" si="12">$C77</f>
        <v>0</v>
      </c>
      <c r="AA77" s="14">
        <f t="shared" si="12"/>
        <v>0</v>
      </c>
      <c r="AB77" s="323"/>
      <c r="AC77" s="323"/>
      <c r="AD77" s="14">
        <v>0</v>
      </c>
      <c r="AE77" s="14">
        <f t="shared" ref="AE77:AE82" si="13">C77</f>
        <v>0</v>
      </c>
    </row>
    <row r="78" spans="1:31" x14ac:dyDescent="0.2">
      <c r="A78" s="481"/>
      <c r="B78" s="2" t="str">
        <f>'sources-uses'!B78</f>
        <v>Other Partnership Fees</v>
      </c>
      <c r="C78" s="193">
        <f>'sources-uses'!C78</f>
        <v>0</v>
      </c>
      <c r="D78" s="323"/>
      <c r="E78" s="254">
        <f t="shared" ref="E78:E82" si="14">SUM(G78:Y78)</f>
        <v>0</v>
      </c>
      <c r="F78" s="323"/>
      <c r="G78" s="14">
        <f>'project budget'!$D78</f>
        <v>0</v>
      </c>
      <c r="H78" s="323"/>
      <c r="I78" s="14">
        <f>'project budget'!$E78</f>
        <v>0</v>
      </c>
      <c r="J78" s="323"/>
      <c r="K78" s="14">
        <f>'project budget'!$F78</f>
        <v>0</v>
      </c>
      <c r="L78" s="323"/>
      <c r="M78" s="14">
        <f>'project budget'!$G78</f>
        <v>0</v>
      </c>
      <c r="N78" s="323"/>
      <c r="O78" s="14">
        <f>'project budget'!$H78</f>
        <v>0</v>
      </c>
      <c r="P78" s="323"/>
      <c r="Q78" s="14">
        <f>'project budget'!$I78</f>
        <v>0</v>
      </c>
      <c r="R78" s="323"/>
      <c r="S78" s="14">
        <f>'project budget'!$J78</f>
        <v>0</v>
      </c>
      <c r="T78" s="323"/>
      <c r="U78" s="14">
        <f>'project budget'!$K78</f>
        <v>0</v>
      </c>
      <c r="V78" s="323"/>
      <c r="W78" s="14">
        <f>'project budget'!$L78</f>
        <v>0</v>
      </c>
      <c r="X78" s="323"/>
      <c r="Y78" s="14">
        <f>'project budget'!$M78</f>
        <v>0</v>
      </c>
      <c r="Z78" s="14">
        <f t="shared" si="12"/>
        <v>0</v>
      </c>
      <c r="AA78" s="14">
        <f t="shared" si="12"/>
        <v>0</v>
      </c>
      <c r="AB78" s="323"/>
      <c r="AC78" s="323"/>
      <c r="AD78" s="14">
        <v>0</v>
      </c>
      <c r="AE78" s="14">
        <f t="shared" si="13"/>
        <v>0</v>
      </c>
    </row>
    <row r="79" spans="1:31" x14ac:dyDescent="0.2">
      <c r="A79" s="481"/>
      <c r="B79" s="2" t="str">
        <f>'sources-uses'!B79</f>
        <v>Consultant Fees</v>
      </c>
      <c r="C79" s="193">
        <f>'sources-uses'!C79</f>
        <v>0</v>
      </c>
      <c r="D79" s="323"/>
      <c r="E79" s="254">
        <f t="shared" si="14"/>
        <v>0</v>
      </c>
      <c r="F79" s="323"/>
      <c r="G79" s="14">
        <f>'project budget'!$D79</f>
        <v>0</v>
      </c>
      <c r="H79" s="323"/>
      <c r="I79" s="14">
        <f>'project budget'!$E79</f>
        <v>0</v>
      </c>
      <c r="J79" s="323"/>
      <c r="K79" s="14">
        <f>'project budget'!$F79</f>
        <v>0</v>
      </c>
      <c r="L79" s="323"/>
      <c r="M79" s="14">
        <f>'project budget'!$G79</f>
        <v>0</v>
      </c>
      <c r="N79" s="323"/>
      <c r="O79" s="14">
        <f>'project budget'!$H79</f>
        <v>0</v>
      </c>
      <c r="P79" s="323"/>
      <c r="Q79" s="14">
        <f>'project budget'!$I79</f>
        <v>0</v>
      </c>
      <c r="R79" s="323"/>
      <c r="S79" s="14">
        <f>'project budget'!$J79</f>
        <v>0</v>
      </c>
      <c r="T79" s="323"/>
      <c r="U79" s="14">
        <f>'project budget'!$K79</f>
        <v>0</v>
      </c>
      <c r="V79" s="323"/>
      <c r="W79" s="14">
        <f>'project budget'!$L79</f>
        <v>0</v>
      </c>
      <c r="X79" s="323"/>
      <c r="Y79" s="14">
        <f>'project budget'!$M79</f>
        <v>0</v>
      </c>
      <c r="Z79" s="14">
        <f t="shared" si="12"/>
        <v>0</v>
      </c>
      <c r="AA79" s="14">
        <f t="shared" si="12"/>
        <v>0</v>
      </c>
      <c r="AB79" s="323"/>
      <c r="AC79" s="323"/>
      <c r="AD79" s="14">
        <v>0</v>
      </c>
      <c r="AE79" s="14">
        <f t="shared" si="13"/>
        <v>0</v>
      </c>
    </row>
    <row r="80" spans="1:31" outlineLevel="1" x14ac:dyDescent="0.2">
      <c r="A80" s="481"/>
      <c r="B80" s="316" t="str">
        <f>'sources-uses'!B80</f>
        <v>[Additional Field - Specify]</v>
      </c>
      <c r="C80" s="193">
        <f>'sources-uses'!C80</f>
        <v>0</v>
      </c>
      <c r="D80" s="323"/>
      <c r="E80" s="254">
        <f t="shared" si="14"/>
        <v>0</v>
      </c>
      <c r="F80" s="323"/>
      <c r="G80" s="14">
        <f>'project budget'!$D80</f>
        <v>0</v>
      </c>
      <c r="H80" s="323"/>
      <c r="I80" s="14">
        <f>'project budget'!$E80</f>
        <v>0</v>
      </c>
      <c r="J80" s="323"/>
      <c r="K80" s="14">
        <f>'project budget'!$F80</f>
        <v>0</v>
      </c>
      <c r="L80" s="323"/>
      <c r="M80" s="14">
        <f>'project budget'!$G80</f>
        <v>0</v>
      </c>
      <c r="N80" s="323"/>
      <c r="O80" s="14">
        <f>'project budget'!$H80</f>
        <v>0</v>
      </c>
      <c r="P80" s="323"/>
      <c r="Q80" s="14">
        <f>'project budget'!$I80</f>
        <v>0</v>
      </c>
      <c r="R80" s="323"/>
      <c r="S80" s="14">
        <f>'project budget'!$J80</f>
        <v>0</v>
      </c>
      <c r="T80" s="323"/>
      <c r="U80" s="14">
        <f>'project budget'!$K80</f>
        <v>0</v>
      </c>
      <c r="V80" s="323"/>
      <c r="W80" s="14">
        <f>'project budget'!$L80</f>
        <v>0</v>
      </c>
      <c r="X80" s="323"/>
      <c r="Y80" s="14">
        <f>'project budget'!$M80</f>
        <v>0</v>
      </c>
      <c r="Z80" s="14">
        <f t="shared" si="12"/>
        <v>0</v>
      </c>
      <c r="AA80" s="14">
        <f t="shared" si="12"/>
        <v>0</v>
      </c>
      <c r="AB80" s="323"/>
      <c r="AC80" s="323"/>
      <c r="AD80" s="14">
        <v>0</v>
      </c>
      <c r="AE80" s="14">
        <f t="shared" si="13"/>
        <v>0</v>
      </c>
    </row>
    <row r="81" spans="1:33" outlineLevel="1" x14ac:dyDescent="0.2">
      <c r="A81" s="481"/>
      <c r="B81" s="316" t="str">
        <f>'sources-uses'!B81</f>
        <v>[Additional Field - Specify]</v>
      </c>
      <c r="C81" s="193">
        <f>'sources-uses'!C81</f>
        <v>0</v>
      </c>
      <c r="D81" s="323"/>
      <c r="E81" s="254">
        <f>SUM(G81:Y81)</f>
        <v>0</v>
      </c>
      <c r="F81" s="323"/>
      <c r="G81" s="14">
        <f>'project budget'!$D81</f>
        <v>0</v>
      </c>
      <c r="H81" s="323"/>
      <c r="I81" s="14">
        <f>'project budget'!$E81</f>
        <v>0</v>
      </c>
      <c r="J81" s="323"/>
      <c r="K81" s="14">
        <f>'project budget'!$F81</f>
        <v>0</v>
      </c>
      <c r="L81" s="323"/>
      <c r="M81" s="14">
        <f>'project budget'!$G81</f>
        <v>0</v>
      </c>
      <c r="N81" s="323"/>
      <c r="O81" s="14">
        <f>'project budget'!$H81</f>
        <v>0</v>
      </c>
      <c r="P81" s="323"/>
      <c r="Q81" s="14">
        <f>'project budget'!$I81</f>
        <v>0</v>
      </c>
      <c r="R81" s="323"/>
      <c r="S81" s="14">
        <f>'project budget'!$J81</f>
        <v>0</v>
      </c>
      <c r="T81" s="323"/>
      <c r="U81" s="14">
        <f>'project budget'!$K81</f>
        <v>0</v>
      </c>
      <c r="V81" s="323"/>
      <c r="W81" s="14">
        <f>'project budget'!$L81</f>
        <v>0</v>
      </c>
      <c r="X81" s="323"/>
      <c r="Y81" s="14">
        <f>'project budget'!$M81</f>
        <v>0</v>
      </c>
      <c r="Z81" s="14">
        <f t="shared" si="12"/>
        <v>0</v>
      </c>
      <c r="AA81" s="14">
        <f t="shared" si="12"/>
        <v>0</v>
      </c>
      <c r="AB81" s="323"/>
      <c r="AC81" s="323"/>
      <c r="AD81" s="14">
        <v>0</v>
      </c>
      <c r="AE81" s="14">
        <f t="shared" si="13"/>
        <v>0</v>
      </c>
    </row>
    <row r="82" spans="1:33" outlineLevel="1" x14ac:dyDescent="0.2">
      <c r="A82" s="481"/>
      <c r="B82" s="316" t="str">
        <f>'sources-uses'!B82</f>
        <v>[Additional Field - Specify]</v>
      </c>
      <c r="C82" s="193">
        <f>'sources-uses'!C82</f>
        <v>0</v>
      </c>
      <c r="D82" s="323"/>
      <c r="E82" s="254">
        <f t="shared" si="14"/>
        <v>0</v>
      </c>
      <c r="F82" s="323"/>
      <c r="G82" s="14">
        <f>'project budget'!$D82</f>
        <v>0</v>
      </c>
      <c r="H82" s="323"/>
      <c r="I82" s="14">
        <f>'project budget'!$E82</f>
        <v>0</v>
      </c>
      <c r="J82" s="323"/>
      <c r="K82" s="14">
        <f>'project budget'!$F82</f>
        <v>0</v>
      </c>
      <c r="L82" s="323"/>
      <c r="M82" s="14">
        <f>'project budget'!$G82</f>
        <v>0</v>
      </c>
      <c r="N82" s="323"/>
      <c r="O82" s="14">
        <f>'project budget'!$H82</f>
        <v>0</v>
      </c>
      <c r="P82" s="323"/>
      <c r="Q82" s="14">
        <f>'project budget'!$I82</f>
        <v>0</v>
      </c>
      <c r="R82" s="323"/>
      <c r="S82" s="14">
        <f>'project budget'!$J82</f>
        <v>0</v>
      </c>
      <c r="T82" s="323"/>
      <c r="U82" s="14">
        <f>'project budget'!$K82</f>
        <v>0</v>
      </c>
      <c r="V82" s="323"/>
      <c r="W82" s="14">
        <f>'project budget'!$L82</f>
        <v>0</v>
      </c>
      <c r="X82" s="323"/>
      <c r="Y82" s="14">
        <f>'project budget'!$M82</f>
        <v>0</v>
      </c>
      <c r="Z82" s="14">
        <f t="shared" si="12"/>
        <v>0</v>
      </c>
      <c r="AA82" s="14">
        <f t="shared" si="12"/>
        <v>0</v>
      </c>
      <c r="AB82" s="323"/>
      <c r="AC82" s="323"/>
      <c r="AD82" s="14">
        <v>0</v>
      </c>
      <c r="AE82" s="14">
        <f t="shared" si="13"/>
        <v>0</v>
      </c>
    </row>
    <row r="83" spans="1:33" x14ac:dyDescent="0.2">
      <c r="A83" s="481"/>
      <c r="B83" s="464" t="s">
        <v>173</v>
      </c>
      <c r="C83" s="223">
        <f>'sources-uses'!C83</f>
        <v>0</v>
      </c>
      <c r="D83" s="323"/>
      <c r="E83" s="323"/>
      <c r="F83" s="323"/>
      <c r="G83" s="323"/>
      <c r="H83" s="323"/>
      <c r="I83" s="323"/>
      <c r="J83" s="323"/>
      <c r="K83" s="323"/>
      <c r="L83" s="323"/>
      <c r="M83" s="323"/>
      <c r="N83" s="323"/>
      <c r="O83" s="323"/>
      <c r="P83" s="323"/>
      <c r="Q83" s="323"/>
      <c r="R83" s="323"/>
      <c r="S83" s="323"/>
      <c r="T83" s="323"/>
      <c r="U83" s="323"/>
      <c r="V83" s="323"/>
      <c r="W83" s="323"/>
      <c r="X83" s="323"/>
      <c r="Y83" s="323"/>
      <c r="Z83" s="323"/>
      <c r="AA83" s="323"/>
      <c r="AB83" s="323"/>
      <c r="AC83" s="323"/>
      <c r="AD83" s="323"/>
      <c r="AE83" s="323"/>
    </row>
    <row r="84" spans="1:33" x14ac:dyDescent="0.2">
      <c r="A84" s="481"/>
      <c r="B84" s="3" t="str">
        <f>'sources-uses'!B84</f>
        <v>RESERVES</v>
      </c>
      <c r="C84" s="220"/>
      <c r="D84" s="323"/>
      <c r="E84" s="323"/>
      <c r="F84" s="323"/>
      <c r="G84" s="323"/>
      <c r="H84" s="323"/>
      <c r="I84" s="323"/>
      <c r="J84" s="323"/>
      <c r="K84" s="323"/>
      <c r="L84" s="323"/>
      <c r="M84" s="323"/>
      <c r="N84" s="323"/>
      <c r="O84" s="323"/>
      <c r="P84" s="323"/>
      <c r="Q84" s="323"/>
      <c r="R84" s="323"/>
      <c r="S84" s="323"/>
      <c r="T84" s="323"/>
      <c r="U84" s="323"/>
      <c r="V84" s="323"/>
      <c r="W84" s="323"/>
      <c r="X84" s="323"/>
      <c r="Y84" s="323"/>
      <c r="Z84" s="323"/>
      <c r="AA84" s="323"/>
      <c r="AB84" s="323"/>
      <c r="AC84" s="323"/>
      <c r="AD84" s="323"/>
      <c r="AE84" s="323"/>
    </row>
    <row r="85" spans="1:33" x14ac:dyDescent="0.2">
      <c r="A85" s="481"/>
      <c r="B85" s="2" t="str">
        <f>'sources-uses'!B85</f>
        <v>Working Capital</v>
      </c>
      <c r="C85" s="193">
        <f>'sources-uses'!C85</f>
        <v>0</v>
      </c>
      <c r="D85" s="323"/>
      <c r="E85" s="323"/>
      <c r="F85" s="323"/>
      <c r="G85" s="323"/>
      <c r="H85" s="323"/>
      <c r="I85" s="323"/>
      <c r="J85" s="323"/>
      <c r="K85" s="323"/>
      <c r="L85" s="323"/>
      <c r="M85" s="323"/>
      <c r="N85" s="323"/>
      <c r="O85" s="323"/>
      <c r="P85" s="323"/>
      <c r="Q85" s="323"/>
      <c r="R85" s="323"/>
      <c r="S85" s="323"/>
      <c r="T85" s="323"/>
      <c r="U85" s="323"/>
      <c r="V85" s="323"/>
      <c r="W85" s="323"/>
      <c r="X85" s="323"/>
      <c r="Y85" s="323"/>
      <c r="Z85" s="323"/>
      <c r="AA85" s="323"/>
      <c r="AB85" s="323"/>
      <c r="AC85" s="323"/>
      <c r="AD85" s="14">
        <v>0</v>
      </c>
      <c r="AE85" s="323"/>
    </row>
    <row r="86" spans="1:33" x14ac:dyDescent="0.2">
      <c r="A86" s="481"/>
      <c r="B86" s="2" t="str">
        <f>'sources-uses'!B86</f>
        <v>Rent-up (Deficit Escrow) Reserve</v>
      </c>
      <c r="C86" s="193">
        <f>'sources-uses'!C86</f>
        <v>0</v>
      </c>
      <c r="D86" s="323"/>
      <c r="E86" s="323"/>
      <c r="F86" s="323"/>
      <c r="G86" s="323"/>
      <c r="H86" s="323"/>
      <c r="I86" s="323"/>
      <c r="J86" s="323"/>
      <c r="K86" s="323"/>
      <c r="L86" s="323"/>
      <c r="M86" s="323"/>
      <c r="N86" s="323"/>
      <c r="O86" s="323"/>
      <c r="P86" s="323"/>
      <c r="Q86" s="323"/>
      <c r="R86" s="323"/>
      <c r="S86" s="323"/>
      <c r="T86" s="323"/>
      <c r="U86" s="323"/>
      <c r="V86" s="323"/>
      <c r="W86" s="323"/>
      <c r="X86" s="323"/>
      <c r="Y86" s="323"/>
      <c r="Z86" s="323"/>
      <c r="AA86" s="323"/>
      <c r="AB86" s="323"/>
      <c r="AC86" s="323"/>
      <c r="AD86" s="14">
        <v>0</v>
      </c>
      <c r="AE86" s="323"/>
    </row>
    <row r="87" spans="1:33" x14ac:dyDescent="0.2">
      <c r="A87" s="481"/>
      <c r="B87" s="2" t="str">
        <f>'sources-uses'!B87</f>
        <v>Operating Reserves</v>
      </c>
      <c r="C87" s="193">
        <f>'sources-uses'!C87</f>
        <v>0</v>
      </c>
      <c r="D87" s="323"/>
      <c r="E87" s="323"/>
      <c r="F87" s="323"/>
      <c r="G87" s="323"/>
      <c r="H87" s="323"/>
      <c r="I87" s="323"/>
      <c r="J87" s="323"/>
      <c r="K87" s="323"/>
      <c r="L87" s="323"/>
      <c r="M87" s="323"/>
      <c r="N87" s="323"/>
      <c r="O87" s="323"/>
      <c r="P87" s="323"/>
      <c r="Q87" s="323"/>
      <c r="R87" s="323"/>
      <c r="S87" s="323"/>
      <c r="T87" s="323"/>
      <c r="U87" s="323"/>
      <c r="V87" s="323"/>
      <c r="W87" s="323"/>
      <c r="X87" s="323"/>
      <c r="Y87" s="323"/>
      <c r="Z87" s="323"/>
      <c r="AA87" s="323"/>
      <c r="AB87" s="323"/>
      <c r="AC87" s="323"/>
      <c r="AD87" s="14">
        <v>0</v>
      </c>
      <c r="AE87" s="323"/>
    </row>
    <row r="88" spans="1:33" x14ac:dyDescent="0.2">
      <c r="A88" s="481"/>
      <c r="B88" s="2" t="str">
        <f>'sources-uses'!B88</f>
        <v>Replacement Reserves</v>
      </c>
      <c r="C88" s="321">
        <f>'sources-uses'!C88</f>
        <v>0</v>
      </c>
      <c r="D88" s="323"/>
      <c r="E88" s="323"/>
      <c r="F88" s="323"/>
      <c r="G88" s="323"/>
      <c r="H88" s="323"/>
      <c r="I88" s="323"/>
      <c r="J88" s="323"/>
      <c r="K88" s="323"/>
      <c r="L88" s="323"/>
      <c r="M88" s="323"/>
      <c r="N88" s="323"/>
      <c r="O88" s="323"/>
      <c r="P88" s="323"/>
      <c r="Q88" s="323"/>
      <c r="R88" s="323"/>
      <c r="S88" s="323"/>
      <c r="T88" s="323"/>
      <c r="U88" s="323"/>
      <c r="V88" s="323"/>
      <c r="W88" s="323"/>
      <c r="X88" s="323"/>
      <c r="Y88" s="323"/>
      <c r="Z88" s="323"/>
      <c r="AA88" s="323"/>
      <c r="AB88" s="323"/>
      <c r="AC88" s="323"/>
      <c r="AD88" s="14">
        <v>0</v>
      </c>
      <c r="AE88" s="323"/>
    </row>
    <row r="89" spans="1:33" outlineLevel="1" x14ac:dyDescent="0.2">
      <c r="A89" s="481"/>
      <c r="B89" s="316" t="str">
        <f>'sources-uses'!B89</f>
        <v>[Additional Field - Specify]</v>
      </c>
      <c r="C89" s="321">
        <f>'sources-uses'!C89</f>
        <v>0</v>
      </c>
      <c r="D89" s="323"/>
      <c r="E89" s="323"/>
      <c r="F89" s="323"/>
      <c r="G89" s="323"/>
      <c r="H89" s="323"/>
      <c r="I89" s="323"/>
      <c r="J89" s="323"/>
      <c r="K89" s="323"/>
      <c r="L89" s="323"/>
      <c r="M89" s="323"/>
      <c r="N89" s="323"/>
      <c r="O89" s="323"/>
      <c r="P89" s="323"/>
      <c r="Q89" s="323"/>
      <c r="R89" s="323"/>
      <c r="S89" s="323"/>
      <c r="T89" s="323"/>
      <c r="U89" s="323"/>
      <c r="V89" s="323"/>
      <c r="W89" s="323"/>
      <c r="X89" s="323"/>
      <c r="Y89" s="323"/>
      <c r="Z89" s="323"/>
      <c r="AA89" s="323"/>
      <c r="AB89" s="323"/>
      <c r="AC89" s="323"/>
      <c r="AD89" s="14">
        <v>0</v>
      </c>
      <c r="AE89" s="323"/>
    </row>
    <row r="90" spans="1:33" outlineLevel="1" x14ac:dyDescent="0.2">
      <c r="A90" s="481"/>
      <c r="B90" s="316" t="str">
        <f>'sources-uses'!B90</f>
        <v>[Additional Field - Specify]</v>
      </c>
      <c r="C90" s="321">
        <f>'sources-uses'!C90</f>
        <v>0</v>
      </c>
      <c r="D90" s="323"/>
      <c r="E90" s="323"/>
      <c r="F90" s="323"/>
      <c r="G90" s="323"/>
      <c r="H90" s="323"/>
      <c r="I90" s="323"/>
      <c r="J90" s="323"/>
      <c r="K90" s="323"/>
      <c r="L90" s="323"/>
      <c r="M90" s="323"/>
      <c r="N90" s="323"/>
      <c r="O90" s="323"/>
      <c r="P90" s="323"/>
      <c r="Q90" s="323"/>
      <c r="R90" s="323"/>
      <c r="S90" s="323"/>
      <c r="T90" s="323"/>
      <c r="U90" s="323"/>
      <c r="V90" s="323"/>
      <c r="W90" s="323"/>
      <c r="X90" s="323"/>
      <c r="Y90" s="323"/>
      <c r="Z90" s="323"/>
      <c r="AA90" s="323"/>
      <c r="AB90" s="323"/>
      <c r="AC90" s="323"/>
      <c r="AD90" s="14">
        <v>0</v>
      </c>
      <c r="AE90" s="323"/>
    </row>
    <row r="91" spans="1:33" x14ac:dyDescent="0.2">
      <c r="A91" s="481"/>
      <c r="B91" s="464" t="s">
        <v>179</v>
      </c>
      <c r="C91" s="321">
        <f>'sources-uses'!C91</f>
        <v>0</v>
      </c>
      <c r="D91" s="323"/>
      <c r="E91" s="323"/>
      <c r="F91" s="323"/>
      <c r="G91" s="323"/>
      <c r="H91" s="323"/>
      <c r="I91" s="323"/>
      <c r="J91" s="323"/>
      <c r="K91" s="323"/>
      <c r="L91" s="323"/>
      <c r="M91" s="323"/>
      <c r="N91" s="323"/>
      <c r="O91" s="323"/>
      <c r="P91" s="323"/>
      <c r="Q91" s="323"/>
      <c r="R91" s="323"/>
      <c r="S91" s="323"/>
      <c r="T91" s="323"/>
      <c r="U91" s="323"/>
      <c r="V91" s="323"/>
      <c r="W91" s="323"/>
      <c r="X91" s="323"/>
      <c r="Y91" s="323"/>
      <c r="Z91" s="323"/>
      <c r="AA91" s="323"/>
      <c r="AB91" s="323"/>
      <c r="AC91" s="323"/>
      <c r="AD91" s="14">
        <v>0</v>
      </c>
      <c r="AE91" s="323"/>
      <c r="AG91" s="480"/>
    </row>
    <row r="92" spans="1:33" ht="15" thickBot="1" x14ac:dyDescent="0.25">
      <c r="A92" s="481"/>
      <c r="B92" s="3" t="str">
        <f>'sources-uses'!B92</f>
        <v>Subtotal - Soft Costs</v>
      </c>
      <c r="C92" s="328">
        <f>'sources-uses'!C92</f>
        <v>0</v>
      </c>
      <c r="D92" s="323"/>
      <c r="E92" s="323"/>
      <c r="F92" s="325"/>
      <c r="G92" s="325"/>
      <c r="H92" s="325"/>
      <c r="I92" s="325"/>
      <c r="J92" s="325"/>
      <c r="K92" s="325"/>
      <c r="L92" s="325"/>
      <c r="M92" s="325"/>
      <c r="N92" s="325"/>
      <c r="O92" s="325"/>
      <c r="P92" s="325"/>
      <c r="Q92" s="325"/>
      <c r="R92" s="325"/>
      <c r="S92" s="325"/>
      <c r="T92" s="325"/>
      <c r="U92" s="325"/>
      <c r="V92" s="325"/>
      <c r="W92" s="325"/>
      <c r="X92" s="325"/>
      <c r="Y92" s="325"/>
      <c r="Z92" s="325"/>
      <c r="AA92" s="325"/>
      <c r="AB92" s="325"/>
      <c r="AC92" s="325"/>
      <c r="AD92" s="352">
        <v>0</v>
      </c>
      <c r="AE92" s="323"/>
    </row>
    <row r="93" spans="1:33" ht="15" thickTop="1" x14ac:dyDescent="0.2">
      <c r="B93" s="458" t="s">
        <v>206</v>
      </c>
      <c r="C93" s="329">
        <f>'sources-uses'!C93</f>
        <v>0</v>
      </c>
      <c r="D93" s="283">
        <f t="shared" ref="D93:Y93" si="15">SUM(D4:D92)</f>
        <v>0</v>
      </c>
      <c r="E93" s="31">
        <f t="shared" si="15"/>
        <v>0</v>
      </c>
      <c r="F93" s="31">
        <f t="shared" si="15"/>
        <v>0</v>
      </c>
      <c r="G93" s="32">
        <f t="shared" si="15"/>
        <v>0</v>
      </c>
      <c r="H93" s="31">
        <f t="shared" si="15"/>
        <v>0</v>
      </c>
      <c r="I93" s="32">
        <f t="shared" si="15"/>
        <v>0</v>
      </c>
      <c r="J93" s="31">
        <f t="shared" si="15"/>
        <v>0</v>
      </c>
      <c r="K93" s="32">
        <f t="shared" si="15"/>
        <v>0</v>
      </c>
      <c r="L93" s="31">
        <f t="shared" si="15"/>
        <v>0</v>
      </c>
      <c r="M93" s="32">
        <f t="shared" si="15"/>
        <v>0</v>
      </c>
      <c r="N93" s="31">
        <f t="shared" si="15"/>
        <v>0</v>
      </c>
      <c r="O93" s="32">
        <f t="shared" si="15"/>
        <v>0</v>
      </c>
      <c r="P93" s="31">
        <f t="shared" si="15"/>
        <v>0</v>
      </c>
      <c r="Q93" s="32">
        <f t="shared" si="15"/>
        <v>0</v>
      </c>
      <c r="R93" s="31">
        <f t="shared" si="15"/>
        <v>0</v>
      </c>
      <c r="S93" s="32">
        <f t="shared" si="15"/>
        <v>0</v>
      </c>
      <c r="T93" s="31">
        <f t="shared" si="15"/>
        <v>0</v>
      </c>
      <c r="U93" s="32">
        <f t="shared" si="15"/>
        <v>0</v>
      </c>
      <c r="V93" s="31">
        <f t="shared" si="15"/>
        <v>0</v>
      </c>
      <c r="W93" s="32">
        <f t="shared" si="15"/>
        <v>0</v>
      </c>
      <c r="X93" s="31">
        <f t="shared" si="15"/>
        <v>0</v>
      </c>
      <c r="Y93" s="32">
        <f t="shared" si="15"/>
        <v>0</v>
      </c>
      <c r="Z93" s="283">
        <f>SUM(Z4:Z92)-Z27</f>
        <v>0</v>
      </c>
      <c r="AA93" s="283">
        <f>SUM(AA4:AA92)</f>
        <v>0</v>
      </c>
      <c r="AB93" s="31">
        <f>SUM(AB4:AB92)</f>
        <v>0</v>
      </c>
      <c r="AC93" s="31">
        <f>SUM(AC4:AC92)</f>
        <v>0</v>
      </c>
      <c r="AD93" s="32">
        <f>SUM(AD4:AD92)</f>
        <v>0</v>
      </c>
      <c r="AE93" s="32">
        <f>SUM(AE4:AE92)</f>
        <v>0</v>
      </c>
      <c r="AF93" s="313">
        <f>IFERROR('credit calcs'!AE93/assumptions!B67,0)</f>
        <v>0</v>
      </c>
    </row>
    <row r="94" spans="1:33" x14ac:dyDescent="0.2">
      <c r="B94" s="1"/>
      <c r="Z94" s="178"/>
      <c r="AA94" s="178"/>
      <c r="AE94" s="284"/>
    </row>
    <row r="95" spans="1:33" x14ac:dyDescent="0.2">
      <c r="A95" s="26" t="s">
        <v>207</v>
      </c>
      <c r="B95" s="140" t="s">
        <v>208</v>
      </c>
      <c r="C95" s="323"/>
      <c r="D95" s="109"/>
      <c r="E95" s="109"/>
      <c r="Z95" s="178"/>
      <c r="AA95" s="178"/>
      <c r="AE95" s="284"/>
    </row>
    <row r="96" spans="1:33" x14ac:dyDescent="0.2">
      <c r="A96" s="26" t="s">
        <v>207</v>
      </c>
      <c r="B96" s="140" t="s">
        <v>209</v>
      </c>
      <c r="C96" s="323"/>
      <c r="D96" s="109"/>
      <c r="E96" s="109"/>
      <c r="Z96" s="178"/>
      <c r="AA96" s="289">
        <v>0.2</v>
      </c>
      <c r="AB96" s="290">
        <v>0.5</v>
      </c>
      <c r="AC96" s="290">
        <v>0.3</v>
      </c>
      <c r="AE96" s="291" t="s">
        <v>210</v>
      </c>
    </row>
    <row r="97" spans="1:31" x14ac:dyDescent="0.2">
      <c r="B97" s="277" t="s">
        <v>211</v>
      </c>
      <c r="C97" s="278"/>
      <c r="D97" s="278">
        <f>D93-D95-D96</f>
        <v>0</v>
      </c>
      <c r="E97" s="278">
        <f>E93-E95-E96</f>
        <v>0</v>
      </c>
      <c r="F97" s="278">
        <f>F93-F95-F96</f>
        <v>0</v>
      </c>
      <c r="G97" s="282">
        <f t="shared" ref="G97" si="16">G93-G95-G96</f>
        <v>0</v>
      </c>
      <c r="H97" s="278">
        <f t="shared" ref="H97" si="17">H93-H95-H96</f>
        <v>0</v>
      </c>
      <c r="I97" s="278">
        <f t="shared" ref="I97" si="18">I93-I95-I96</f>
        <v>0</v>
      </c>
      <c r="J97" s="278">
        <f t="shared" ref="J97" si="19">J93-J95-J96</f>
        <v>0</v>
      </c>
      <c r="K97" s="278">
        <f t="shared" ref="K97" si="20">K93-K95-K96</f>
        <v>0</v>
      </c>
      <c r="L97" s="278">
        <f t="shared" ref="L97" si="21">L93-L95-L96</f>
        <v>0</v>
      </c>
      <c r="M97" s="278">
        <f t="shared" ref="M97" si="22">M93-M95-M96</f>
        <v>0</v>
      </c>
      <c r="N97" s="278">
        <f t="shared" ref="N97" si="23">N93-N95-N96</f>
        <v>0</v>
      </c>
      <c r="O97" s="278">
        <f t="shared" ref="O97" si="24">O93-O95-O96</f>
        <v>0</v>
      </c>
      <c r="P97" s="278">
        <f t="shared" ref="P97" si="25">P93-P95-P96</f>
        <v>0</v>
      </c>
      <c r="Q97" s="278">
        <f t="shared" ref="Q97" si="26">Q93-Q95-Q96</f>
        <v>0</v>
      </c>
      <c r="R97" s="278">
        <f t="shared" ref="R97" si="27">R93-R95-R96</f>
        <v>0</v>
      </c>
      <c r="S97" s="278">
        <f t="shared" ref="S97" si="28">S93-S95-S96</f>
        <v>0</v>
      </c>
      <c r="T97" s="278">
        <f t="shared" ref="T97" si="29">T93-T95-T96</f>
        <v>0</v>
      </c>
      <c r="U97" s="278">
        <f t="shared" ref="U97" si="30">U93-U95-U96</f>
        <v>0</v>
      </c>
      <c r="V97" s="278">
        <f t="shared" ref="V97" si="31">V93-V95-V96</f>
        <v>0</v>
      </c>
      <c r="W97" s="278">
        <f>W93-W95-W96</f>
        <v>0</v>
      </c>
      <c r="X97" s="278">
        <f t="shared" ref="X97" si="32">X93-X95-X96</f>
        <v>0</v>
      </c>
      <c r="Y97" s="278">
        <f t="shared" ref="Y97" si="33">Y93-Y95-Y96</f>
        <v>0</v>
      </c>
      <c r="Z97" s="278">
        <f>Z93-Z95-Z96</f>
        <v>0</v>
      </c>
      <c r="AA97" s="288">
        <f>AA96*AA93</f>
        <v>0</v>
      </c>
      <c r="AB97" s="255">
        <f t="shared" ref="AB97:AC97" si="34">AB96*AB93</f>
        <v>0</v>
      </c>
      <c r="AC97" s="255">
        <f t="shared" si="34"/>
        <v>0</v>
      </c>
      <c r="AE97" s="287" t="s">
        <v>212</v>
      </c>
    </row>
    <row r="98" spans="1:31" x14ac:dyDescent="0.2">
      <c r="Z98" s="178"/>
      <c r="AA98" s="178"/>
      <c r="AE98" s="284"/>
    </row>
    <row r="99" spans="1:31" x14ac:dyDescent="0.2">
      <c r="A99" s="26" t="s">
        <v>213</v>
      </c>
      <c r="B99" s="514" t="s">
        <v>214</v>
      </c>
      <c r="C99" s="281">
        <v>1</v>
      </c>
      <c r="D99" s="323"/>
      <c r="E99" s="14">
        <f>E97*$C$99</f>
        <v>0</v>
      </c>
      <c r="F99" s="323"/>
      <c r="G99" s="14">
        <f>G97*$C$99</f>
        <v>0</v>
      </c>
      <c r="H99" s="323"/>
      <c r="I99" s="14">
        <f>I97*$C$99</f>
        <v>0</v>
      </c>
      <c r="J99" s="323"/>
      <c r="K99" s="14">
        <f>K97*$C$99</f>
        <v>0</v>
      </c>
      <c r="L99" s="323"/>
      <c r="M99" s="14">
        <f>M97*$C$99</f>
        <v>0</v>
      </c>
      <c r="N99" s="323"/>
      <c r="O99" s="14">
        <f>O97*$C$99</f>
        <v>0</v>
      </c>
      <c r="P99" s="323"/>
      <c r="Q99" s="14">
        <f>Q97*$C$99</f>
        <v>0</v>
      </c>
      <c r="R99" s="323"/>
      <c r="S99" s="14">
        <f>S97*$C$99</f>
        <v>0</v>
      </c>
      <c r="T99" s="323"/>
      <c r="U99" s="14">
        <f>U97*$C$99</f>
        <v>0</v>
      </c>
      <c r="V99" s="323"/>
      <c r="W99" s="14">
        <f>W97*$C$99</f>
        <v>0</v>
      </c>
      <c r="X99" s="323"/>
      <c r="Y99" s="14">
        <f>Y97*$C$99</f>
        <v>0</v>
      </c>
      <c r="Z99" s="178"/>
      <c r="AA99" s="178"/>
      <c r="AE99" s="284"/>
    </row>
    <row r="100" spans="1:31" ht="15" thickBot="1" x14ac:dyDescent="0.25">
      <c r="A100" s="26" t="s">
        <v>213</v>
      </c>
      <c r="B100" s="12" t="s">
        <v>102</v>
      </c>
      <c r="C100" s="279">
        <f>assumptions!D82</f>
        <v>0</v>
      </c>
      <c r="D100" s="193">
        <f>$C$100*D97</f>
        <v>0</v>
      </c>
      <c r="E100" s="193">
        <f>$C$100*E99</f>
        <v>0</v>
      </c>
      <c r="F100" s="193">
        <f>$C$100*F97</f>
        <v>0</v>
      </c>
      <c r="G100" s="193">
        <f>$C$100*G99</f>
        <v>0</v>
      </c>
      <c r="H100" s="193">
        <f>$C$100*H97</f>
        <v>0</v>
      </c>
      <c r="I100" s="193">
        <f>$C$100*I99</f>
        <v>0</v>
      </c>
      <c r="J100" s="193">
        <f>$C$100*J97</f>
        <v>0</v>
      </c>
      <c r="K100" s="193">
        <f>$C$100*K99</f>
        <v>0</v>
      </c>
      <c r="L100" s="193">
        <f>$C$100*L97</f>
        <v>0</v>
      </c>
      <c r="M100" s="193">
        <f>$C$100*M99</f>
        <v>0</v>
      </c>
      <c r="N100" s="193">
        <f>$C$100*N97</f>
        <v>0</v>
      </c>
      <c r="O100" s="193">
        <f>$C$100*O99</f>
        <v>0</v>
      </c>
      <c r="P100" s="193">
        <f>$C$100*P97</f>
        <v>0</v>
      </c>
      <c r="Q100" s="193">
        <f>$C$100*Q99</f>
        <v>0</v>
      </c>
      <c r="R100" s="193">
        <f>$C$100*R97</f>
        <v>0</v>
      </c>
      <c r="S100" s="193">
        <f>$C$100*S99</f>
        <v>0</v>
      </c>
      <c r="T100" s="193">
        <f>$C$100*T97</f>
        <v>0</v>
      </c>
      <c r="U100" s="193">
        <f>$C$100*U99</f>
        <v>0</v>
      </c>
      <c r="V100" s="193">
        <f>$C$100*V97</f>
        <v>0</v>
      </c>
      <c r="W100" s="193">
        <f>$C$100*W99</f>
        <v>0</v>
      </c>
      <c r="X100" s="193">
        <f>$C$100*X97</f>
        <v>0</v>
      </c>
      <c r="Y100" s="193">
        <f>$C$100*Y99</f>
        <v>0</v>
      </c>
      <c r="Z100" s="178"/>
      <c r="AA100" s="285"/>
      <c r="AB100" s="18"/>
      <c r="AC100" s="18"/>
      <c r="AD100" s="18"/>
      <c r="AE100" s="286"/>
    </row>
    <row r="101" spans="1:31" ht="15" thickTop="1" x14ac:dyDescent="0.2">
      <c r="B101" s="277" t="s">
        <v>215</v>
      </c>
      <c r="C101" s="280"/>
      <c r="D101" s="278">
        <f t="shared" ref="D101:I101" si="35">D100</f>
        <v>0</v>
      </c>
      <c r="E101" s="278">
        <f t="shared" si="35"/>
        <v>0</v>
      </c>
      <c r="F101" s="278">
        <f t="shared" si="35"/>
        <v>0</v>
      </c>
      <c r="G101" s="278">
        <f t="shared" si="35"/>
        <v>0</v>
      </c>
      <c r="H101" s="278">
        <f t="shared" si="35"/>
        <v>0</v>
      </c>
      <c r="I101" s="278">
        <f t="shared" si="35"/>
        <v>0</v>
      </c>
      <c r="J101" s="278">
        <f t="shared" ref="J101:X101" si="36">J100</f>
        <v>0</v>
      </c>
      <c r="K101" s="278">
        <f t="shared" si="36"/>
        <v>0</v>
      </c>
      <c r="L101" s="278">
        <f t="shared" si="36"/>
        <v>0</v>
      </c>
      <c r="M101" s="278">
        <f t="shared" si="36"/>
        <v>0</v>
      </c>
      <c r="N101" s="278">
        <f t="shared" si="36"/>
        <v>0</v>
      </c>
      <c r="O101" s="278">
        <f t="shared" si="36"/>
        <v>0</v>
      </c>
      <c r="P101" s="278">
        <f t="shared" si="36"/>
        <v>0</v>
      </c>
      <c r="Q101" s="278">
        <f t="shared" si="36"/>
        <v>0</v>
      </c>
      <c r="R101" s="278">
        <f t="shared" si="36"/>
        <v>0</v>
      </c>
      <c r="S101" s="278">
        <f t="shared" si="36"/>
        <v>0</v>
      </c>
      <c r="T101" s="278">
        <f t="shared" si="36"/>
        <v>0</v>
      </c>
      <c r="U101" s="278">
        <f t="shared" si="36"/>
        <v>0</v>
      </c>
      <c r="V101" s="278">
        <f t="shared" si="36"/>
        <v>0</v>
      </c>
      <c r="W101" s="278">
        <f t="shared" si="36"/>
        <v>0</v>
      </c>
      <c r="X101" s="278">
        <f t="shared" si="36"/>
        <v>0</v>
      </c>
      <c r="Y101" s="278">
        <f>Y100</f>
        <v>0</v>
      </c>
      <c r="Z101" s="467">
        <f>Z97-Z109-Z105</f>
        <v>0</v>
      </c>
      <c r="AA101" s="468" t="s">
        <v>216</v>
      </c>
    </row>
    <row r="102" spans="1:31" x14ac:dyDescent="0.2">
      <c r="Z102" s="467">
        <f>assumptions!E11</f>
        <v>27.5</v>
      </c>
      <c r="AA102" s="468" t="s">
        <v>217</v>
      </c>
    </row>
    <row r="103" spans="1:31" x14ac:dyDescent="0.2">
      <c r="A103" s="26" t="s">
        <v>213</v>
      </c>
      <c r="B103" s="12" t="s">
        <v>218</v>
      </c>
      <c r="C103" s="239"/>
      <c r="D103" s="239" t="str">
        <f>IF(assumptions!$B$18="N/A","N/A",'VHFA Use'!$C$75)</f>
        <v>N/A</v>
      </c>
      <c r="E103" s="239" t="str">
        <f>assumptions!$B$18</f>
        <v>N/A</v>
      </c>
      <c r="F103" s="239" t="str">
        <f>IF(assumptions!$B$18="N/A","N/A",'VHFA Use'!$C$75)</f>
        <v>N/A</v>
      </c>
      <c r="G103" s="239" t="str">
        <f>assumptions!$B$18</f>
        <v>N/A</v>
      </c>
      <c r="H103" s="239" t="str">
        <f>IF(assumptions!$B$18="N/A","N/A",'VHFA Use'!$C$75)</f>
        <v>N/A</v>
      </c>
      <c r="I103" s="239" t="str">
        <f>assumptions!$B$18</f>
        <v>N/A</v>
      </c>
      <c r="J103" s="239" t="str">
        <f>IF(assumptions!$B$18="N/A","N/A",'VHFA Use'!$C$75)</f>
        <v>N/A</v>
      </c>
      <c r="K103" s="239" t="str">
        <f>assumptions!$B$18</f>
        <v>N/A</v>
      </c>
      <c r="L103" s="239" t="str">
        <f>IF(assumptions!$B$18="N/A","N/A",'VHFA Use'!$C$75)</f>
        <v>N/A</v>
      </c>
      <c r="M103" s="239" t="str">
        <f>assumptions!$B$18</f>
        <v>N/A</v>
      </c>
      <c r="N103" s="239" t="str">
        <f>IF(assumptions!$B$18="N/A","N/A",'VHFA Use'!$C$75)</f>
        <v>N/A</v>
      </c>
      <c r="O103" s="239" t="str">
        <f>assumptions!$B$18</f>
        <v>N/A</v>
      </c>
      <c r="P103" s="239" t="str">
        <f>IF(assumptions!$B$18="N/A","N/A",'VHFA Use'!$C$75)</f>
        <v>N/A</v>
      </c>
      <c r="Q103" s="239" t="str">
        <f>assumptions!$B$18</f>
        <v>N/A</v>
      </c>
      <c r="R103" s="239" t="str">
        <f>IF(assumptions!$B$18="N/A","N/A",'VHFA Use'!$C$75)</f>
        <v>N/A</v>
      </c>
      <c r="S103" s="239" t="str">
        <f>assumptions!$B$18</f>
        <v>N/A</v>
      </c>
      <c r="T103" s="239" t="str">
        <f>IF(assumptions!$B$18="N/A","N/A",'VHFA Use'!$C$75)</f>
        <v>N/A</v>
      </c>
      <c r="U103" s="239" t="str">
        <f>assumptions!$B$18</f>
        <v>N/A</v>
      </c>
      <c r="V103" s="239" t="str">
        <f>IF(assumptions!$B$18="N/A","N/A",'VHFA Use'!$C$75)</f>
        <v>N/A</v>
      </c>
      <c r="W103" s="239" t="str">
        <f>assumptions!$B$18</f>
        <v>N/A</v>
      </c>
      <c r="X103" s="239" t="str">
        <f>IF(assumptions!$B$18="N/A","N/A",'VHFA Use'!$C$75)</f>
        <v>N/A</v>
      </c>
      <c r="Y103" s="239" t="str">
        <f>assumptions!$B$18</f>
        <v>N/A</v>
      </c>
      <c r="Z103" s="467">
        <f>Z101/Z102</f>
        <v>0</v>
      </c>
      <c r="AA103" s="468" t="s">
        <v>219</v>
      </c>
    </row>
    <row r="104" spans="1:31" x14ac:dyDescent="0.2">
      <c r="B104" s="277" t="s">
        <v>220</v>
      </c>
      <c r="C104" s="280"/>
      <c r="D104" s="278">
        <f>IF(assumptions!$A$18="LIHTC - None",0,D101*D$103)</f>
        <v>0</v>
      </c>
      <c r="E104" s="278">
        <f>IF(assumptions!$A$18="LIHTC - None",0,E101*E$103)</f>
        <v>0</v>
      </c>
      <c r="F104" s="278">
        <f>IF(assumptions!$A$18="LIHTC - None",0,F101*F$103)</f>
        <v>0</v>
      </c>
      <c r="G104" s="278">
        <f>IF(assumptions!$A$18="LIHTC - None",0,G101*G$103)</f>
        <v>0</v>
      </c>
      <c r="H104" s="278">
        <f>IF(assumptions!$A$18="LIHTC - None",0,H101*H$103)</f>
        <v>0</v>
      </c>
      <c r="I104" s="278">
        <f>IF(assumptions!$A$18="LIHTC - None",0,I101*I$103)</f>
        <v>0</v>
      </c>
      <c r="J104" s="278">
        <f>IF(assumptions!$A$18="LIHTC - None",0,J101*J$103)</f>
        <v>0</v>
      </c>
      <c r="K104" s="278">
        <f>IF(assumptions!$A$18="LIHTC - None",0,K101*K$103)</f>
        <v>0</v>
      </c>
      <c r="L104" s="278">
        <f>IF(assumptions!$A$18="LIHTC - None",0,L101*L$103)</f>
        <v>0</v>
      </c>
      <c r="M104" s="278">
        <f>IF(assumptions!$A$18="LIHTC - None",0,M101*M$103)</f>
        <v>0</v>
      </c>
      <c r="N104" s="278">
        <f>IF(assumptions!$A$18="LIHTC - None",0,N101*N$103)</f>
        <v>0</v>
      </c>
      <c r="O104" s="278">
        <f>IF(assumptions!$A$18="LIHTC - None",0,O101*O$103)</f>
        <v>0</v>
      </c>
      <c r="P104" s="278">
        <f>IF(assumptions!$A$18="LIHTC - None",0,P101*P$103)</f>
        <v>0</v>
      </c>
      <c r="Q104" s="278">
        <f>IF(assumptions!$A$18="LIHTC - None",0,Q101*Q$103)</f>
        <v>0</v>
      </c>
      <c r="R104" s="278">
        <f>IF(assumptions!$A$18="LIHTC - None",0,R101*R$103)</f>
        <v>0</v>
      </c>
      <c r="S104" s="278">
        <f>IF(assumptions!$A$18="LIHTC - None",0,S101*S$103)</f>
        <v>0</v>
      </c>
      <c r="T104" s="278">
        <f>IF(assumptions!$A$18="LIHTC - None",0,T101*T$103)</f>
        <v>0</v>
      </c>
      <c r="U104" s="278">
        <f>IF(assumptions!$A$18="LIHTC - None",0,U101*U$103)</f>
        <v>0</v>
      </c>
      <c r="V104" s="278">
        <f>IF(assumptions!$A$18="LIHTC - None",0,V101*V$103)</f>
        <v>0</v>
      </c>
      <c r="W104" s="278">
        <f>IF(assumptions!$A$18="LIHTC - None",0,W101*W$103)</f>
        <v>0</v>
      </c>
      <c r="X104" s="278">
        <f>IF(assumptions!$A$18="LIHTC - None",0,X101*X$103)</f>
        <v>0</v>
      </c>
      <c r="Y104" s="278">
        <f>IF(assumptions!$A$18="LIHTC - None",0,Y101*Y$103)</f>
        <v>0</v>
      </c>
      <c r="Z104" s="469"/>
      <c r="AA104" s="468"/>
    </row>
    <row r="105" spans="1:31" x14ac:dyDescent="0.2">
      <c r="Z105" s="467">
        <f>Z27</f>
        <v>0</v>
      </c>
      <c r="AA105" s="468" t="s">
        <v>221</v>
      </c>
    </row>
    <row r="106" spans="1:31" x14ac:dyDescent="0.2">
      <c r="Z106" s="467">
        <f>assumptions!E13</f>
        <v>5</v>
      </c>
      <c r="AA106" s="468" t="s">
        <v>217</v>
      </c>
    </row>
    <row r="107" spans="1:31" x14ac:dyDescent="0.2">
      <c r="B107" s="470" t="s">
        <v>222</v>
      </c>
      <c r="C107" s="350">
        <f>assumptions!B15</f>
        <v>0</v>
      </c>
      <c r="D107" s="203"/>
      <c r="E107" s="203"/>
      <c r="Z107" s="467">
        <f>Z105/Z106</f>
        <v>0</v>
      </c>
      <c r="AA107" s="468" t="s">
        <v>219</v>
      </c>
    </row>
    <row r="108" spans="1:31" x14ac:dyDescent="0.2">
      <c r="B108" s="471" t="s">
        <v>223</v>
      </c>
      <c r="C108" s="351">
        <f>assumptions!B49</f>
        <v>0</v>
      </c>
      <c r="D108" s="203"/>
      <c r="E108" s="203"/>
      <c r="Z108" s="469"/>
      <c r="AA108" s="468"/>
    </row>
    <row r="109" spans="1:31" x14ac:dyDescent="0.2">
      <c r="B109" s="471" t="s">
        <v>224</v>
      </c>
      <c r="C109" s="494">
        <f>IFERROR(C108/(C107*10*assumptions!E71),0)</f>
        <v>0</v>
      </c>
      <c r="Z109" s="467">
        <v>0</v>
      </c>
      <c r="AA109" s="468" t="s">
        <v>225</v>
      </c>
    </row>
    <row r="110" spans="1:31" x14ac:dyDescent="0.2">
      <c r="B110" s="471" t="s">
        <v>226</v>
      </c>
      <c r="C110" s="351">
        <f>'sources-uses'!C93-(SUM(assumptions!B21:B48)+SUM(assumptions!B50:B55))</f>
        <v>0</v>
      </c>
      <c r="D110" s="203"/>
      <c r="E110" s="203"/>
      <c r="Z110" s="467">
        <f>assumptions!E12</f>
        <v>15</v>
      </c>
      <c r="AA110" s="468" t="s">
        <v>217</v>
      </c>
    </row>
    <row r="111" spans="1:31" x14ac:dyDescent="0.2">
      <c r="B111" s="472" t="s">
        <v>227</v>
      </c>
      <c r="C111" s="493">
        <f>IFERROR(C110/C109/10/assumptions!E71,0)</f>
        <v>0</v>
      </c>
      <c r="D111" s="182"/>
      <c r="E111" s="182"/>
      <c r="Z111" s="467">
        <f>Z109/Z110</f>
        <v>0</v>
      </c>
      <c r="AA111" s="468" t="s">
        <v>219</v>
      </c>
    </row>
  </sheetData>
  <sheetProtection algorithmName="SHA-512" hashValue="cnB78151ItcmHeg+96Iu67xb5/LvbMlZ4veafj1DbvO8eOulvI09oxgAwjhtouevjhQ3BIZgYDwAJ6HRPYCG1Q==" saltValue="lAM23XciofYK9RrMiusLYQ==" spinCount="100000" sheet="1" formatCells="0" formatColumns="0" formatRows="0"/>
  <mergeCells count="11">
    <mergeCell ref="D2:E2"/>
    <mergeCell ref="T2:U2"/>
    <mergeCell ref="F2:G2"/>
    <mergeCell ref="X2:Y2"/>
    <mergeCell ref="R2:S2"/>
    <mergeCell ref="P2:Q2"/>
    <mergeCell ref="N2:O2"/>
    <mergeCell ref="L2:M2"/>
    <mergeCell ref="J2:K2"/>
    <mergeCell ref="H2:I2"/>
    <mergeCell ref="V2:W2"/>
  </mergeCells>
  <dataValidations count="1">
    <dataValidation allowBlank="1" showInputMessage="1" showErrorMessage="1" prompt="Select 4% or 9% in the Assumptions tab." sqref="C103" xr:uid="{77C32537-81B4-42CA-BA94-E6543869A9DD}"/>
  </dataValidations>
  <pageMargins left="0.75" right="0.75" top="1" bottom="1" header="0.5" footer="0.5"/>
  <pageSetup scale="52" orientation="portrait" r:id="rId1"/>
  <headerFooter alignWithMargins="0">
    <oddFooter>&amp;L&amp;F
&amp;D&amp;T&amp;R&amp;"Times New Roman,Regular"&amp;8revision date:  8/6/2007</oddFooter>
  </headerFooter>
  <ignoredErrors>
    <ignoredError sqref="E99"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basis boost type or not adjusted" xr:uid="{9EB450C5-F2CC-4880-9057-A549B347BB60}">
          <x14:formula1>
            <xm:f>'VHFA Use'!$C$80:$C$82</xm:f>
          </x14:formula1>
          <xm:sqref>B99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119"/>
  <sheetViews>
    <sheetView topLeftCell="A78" zoomScale="90" zoomScaleNormal="90" workbookViewId="0">
      <selection activeCell="S101" sqref="S101"/>
    </sheetView>
  </sheetViews>
  <sheetFormatPr defaultColWidth="8.88671875" defaultRowHeight="14.25" outlineLevelRow="1" outlineLevelCol="1" x14ac:dyDescent="0.2"/>
  <cols>
    <col min="1" max="1" width="14.21875" style="12" customWidth="1"/>
    <col min="2" max="2" width="7.77734375" style="12" customWidth="1"/>
    <col min="3" max="5" width="5.5546875" style="12" customWidth="1"/>
    <col min="6" max="6" width="6.88671875" style="12" customWidth="1"/>
    <col min="7" max="13" width="5.5546875" style="12" customWidth="1"/>
    <col min="14" max="15" width="5.5546875" style="12" customWidth="1" outlineLevel="1"/>
    <col min="16" max="16" width="5.5546875" style="12" customWidth="1"/>
    <col min="17" max="17" width="10.44140625" style="12" bestFit="1" customWidth="1"/>
    <col min="18" max="19" width="10" style="12" bestFit="1" customWidth="1"/>
    <col min="20" max="20" width="9.77734375" style="12" customWidth="1"/>
    <col min="21" max="21" width="9" style="12" bestFit="1" customWidth="1"/>
    <col min="22" max="36" width="6" style="12" customWidth="1"/>
    <col min="37" max="37" width="6.5546875" style="12" customWidth="1"/>
    <col min="38" max="16384" width="8.88671875" style="12"/>
  </cols>
  <sheetData>
    <row r="1" spans="1:40" ht="15.75" thickBot="1" x14ac:dyDescent="0.3">
      <c r="A1" s="199" t="str">
        <f>assumptions!B2</f>
        <v>enter date</v>
      </c>
      <c r="B1" s="200" t="str">
        <f>assumptions!B1</f>
        <v>enter project name</v>
      </c>
      <c r="C1" s="444"/>
      <c r="D1" s="445"/>
      <c r="E1" s="446"/>
      <c r="F1" s="445"/>
      <c r="G1" s="447"/>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row>
    <row r="2" spans="1:40" ht="15" thickTop="1" x14ac:dyDescent="0.2">
      <c r="A2" s="448"/>
      <c r="B2" s="173"/>
      <c r="C2" s="173"/>
      <c r="D2" s="173"/>
      <c r="E2" s="173"/>
      <c r="F2" s="173"/>
      <c r="G2" s="173"/>
      <c r="H2" s="173"/>
      <c r="I2" s="173"/>
      <c r="J2" s="173"/>
      <c r="K2" s="173"/>
      <c r="L2" s="173"/>
      <c r="M2" s="173"/>
      <c r="N2" s="173"/>
      <c r="O2" s="173"/>
      <c r="P2" s="173"/>
      <c r="Q2" s="1"/>
      <c r="R2" s="1"/>
      <c r="S2" s="1"/>
      <c r="T2" s="1"/>
      <c r="U2" s="1"/>
      <c r="V2" s="1"/>
      <c r="W2" s="1"/>
      <c r="X2" s="1"/>
      <c r="Y2" s="1"/>
      <c r="Z2" s="1"/>
      <c r="AA2" s="1"/>
      <c r="AB2" s="1"/>
      <c r="AC2" s="1"/>
      <c r="AD2" s="1"/>
      <c r="AE2" s="1"/>
      <c r="AF2" s="1"/>
      <c r="AG2" s="1"/>
      <c r="AH2" s="1"/>
      <c r="AI2" s="1"/>
      <c r="AJ2" s="1"/>
      <c r="AK2" s="1"/>
    </row>
    <row r="3" spans="1:40" s="22" customFormat="1" ht="15" x14ac:dyDescent="0.25">
      <c r="A3" s="449"/>
      <c r="B3" s="544" t="s">
        <v>228</v>
      </c>
      <c r="C3" s="545"/>
      <c r="D3" s="545"/>
      <c r="E3" s="545"/>
      <c r="F3" s="545"/>
      <c r="G3" s="545"/>
      <c r="H3" s="545"/>
      <c r="I3" s="545"/>
      <c r="J3" s="545"/>
      <c r="K3" s="545"/>
      <c r="L3" s="545"/>
      <c r="M3" s="545"/>
      <c r="N3" s="545"/>
      <c r="O3" s="545"/>
      <c r="P3" s="545"/>
      <c r="Q3" s="536" t="s">
        <v>229</v>
      </c>
      <c r="R3" s="537"/>
      <c r="S3" s="537"/>
      <c r="T3" s="537"/>
      <c r="U3" s="538"/>
      <c r="V3" s="536" t="s">
        <v>230</v>
      </c>
      <c r="W3" s="537"/>
      <c r="X3" s="537"/>
      <c r="Y3" s="537"/>
      <c r="Z3" s="537"/>
      <c r="AA3" s="537"/>
      <c r="AB3" s="537"/>
      <c r="AC3" s="538"/>
      <c r="AD3" s="536" t="s">
        <v>231</v>
      </c>
      <c r="AE3" s="537"/>
      <c r="AF3" s="542"/>
      <c r="AG3" s="542"/>
      <c r="AH3" s="542"/>
      <c r="AI3" s="542"/>
      <c r="AJ3" s="542"/>
      <c r="AK3" s="543"/>
    </row>
    <row r="4" spans="1:40" s="59" customFormat="1" ht="78.75" customHeight="1" x14ac:dyDescent="0.2">
      <c r="A4" s="539" t="s">
        <v>232</v>
      </c>
      <c r="B4" s="541" t="s">
        <v>233</v>
      </c>
      <c r="C4" s="531" t="s">
        <v>234</v>
      </c>
      <c r="D4" s="531" t="s">
        <v>235</v>
      </c>
      <c r="E4" s="531" t="s">
        <v>236</v>
      </c>
      <c r="F4" s="531" t="s">
        <v>237</v>
      </c>
      <c r="G4" s="531" t="s">
        <v>238</v>
      </c>
      <c r="H4" s="533" t="s">
        <v>239</v>
      </c>
      <c r="I4" s="533" t="s">
        <v>566</v>
      </c>
      <c r="J4" s="533" t="s">
        <v>567</v>
      </c>
      <c r="K4" s="531" t="s">
        <v>240</v>
      </c>
      <c r="L4" s="533" t="s">
        <v>241</v>
      </c>
      <c r="M4" s="533" t="s">
        <v>242</v>
      </c>
      <c r="N4" s="534" t="s">
        <v>78</v>
      </c>
      <c r="O4" s="534" t="s">
        <v>78</v>
      </c>
      <c r="P4" s="548" t="s">
        <v>243</v>
      </c>
      <c r="Q4" s="549" t="s">
        <v>244</v>
      </c>
      <c r="R4" s="539" t="s">
        <v>245</v>
      </c>
      <c r="S4" s="539" t="s">
        <v>246</v>
      </c>
      <c r="T4" s="539" t="s">
        <v>247</v>
      </c>
      <c r="U4" s="540" t="s">
        <v>248</v>
      </c>
      <c r="V4" s="551" t="s">
        <v>249</v>
      </c>
      <c r="W4" s="546"/>
      <c r="X4" s="539"/>
      <c r="Y4" s="539"/>
      <c r="Z4" s="539"/>
      <c r="AA4" s="539"/>
      <c r="AB4" s="539"/>
      <c r="AC4" s="540"/>
      <c r="AD4" s="546" t="s">
        <v>250</v>
      </c>
      <c r="AE4" s="546"/>
      <c r="AF4" s="547"/>
      <c r="AG4" s="547"/>
      <c r="AH4" s="547"/>
      <c r="AI4" s="547"/>
      <c r="AJ4" s="547"/>
      <c r="AK4" s="547"/>
      <c r="AM4" s="60" t="s">
        <v>251</v>
      </c>
      <c r="AN4" s="492" t="s">
        <v>252</v>
      </c>
    </row>
    <row r="5" spans="1:40" s="25" customFormat="1" ht="33" customHeight="1" x14ac:dyDescent="0.25">
      <c r="A5" s="539"/>
      <c r="B5" s="539"/>
      <c r="C5" s="532"/>
      <c r="D5" s="532"/>
      <c r="E5" s="532"/>
      <c r="F5" s="532"/>
      <c r="G5" s="532"/>
      <c r="H5" s="531"/>
      <c r="I5" s="531"/>
      <c r="J5" s="531"/>
      <c r="K5" s="532"/>
      <c r="L5" s="531"/>
      <c r="M5" s="531"/>
      <c r="N5" s="535"/>
      <c r="O5" s="535"/>
      <c r="P5" s="548"/>
      <c r="Q5" s="550"/>
      <c r="R5" s="539"/>
      <c r="S5" s="539"/>
      <c r="T5" s="539"/>
      <c r="U5" s="540"/>
      <c r="V5" s="450">
        <v>0.3</v>
      </c>
      <c r="W5" s="451">
        <v>0.4</v>
      </c>
      <c r="X5" s="451">
        <v>0.5</v>
      </c>
      <c r="Y5" s="451">
        <v>0.6</v>
      </c>
      <c r="Z5" s="451">
        <v>0.7</v>
      </c>
      <c r="AA5" s="451">
        <v>0.8</v>
      </c>
      <c r="AB5" s="451">
        <v>1</v>
      </c>
      <c r="AC5" s="452" t="s">
        <v>253</v>
      </c>
      <c r="AD5" s="453" t="s">
        <v>254</v>
      </c>
      <c r="AE5" s="454">
        <v>0.4</v>
      </c>
      <c r="AF5" s="455" t="s">
        <v>255</v>
      </c>
      <c r="AG5" s="455" t="s">
        <v>256</v>
      </c>
      <c r="AH5" s="455" t="s">
        <v>257</v>
      </c>
      <c r="AI5" s="456" t="s">
        <v>258</v>
      </c>
      <c r="AJ5" s="455" t="s">
        <v>259</v>
      </c>
      <c r="AK5" s="455" t="s">
        <v>260</v>
      </c>
      <c r="AM5" s="495"/>
      <c r="AN5" s="489"/>
    </row>
    <row r="6" spans="1:40" x14ac:dyDescent="0.2">
      <c r="A6" s="311"/>
      <c r="B6" s="130"/>
      <c r="C6" s="131"/>
      <c r="D6" s="131"/>
      <c r="E6" s="131"/>
      <c r="F6" s="131"/>
      <c r="G6" s="132"/>
      <c r="H6" s="131"/>
      <c r="I6" s="131"/>
      <c r="J6" s="131"/>
      <c r="K6" s="131"/>
      <c r="L6" s="442"/>
      <c r="M6" s="442"/>
      <c r="N6" s="442"/>
      <c r="O6" s="442"/>
      <c r="P6" s="133"/>
      <c r="Q6" s="134"/>
      <c r="R6" s="135"/>
      <c r="S6" s="136">
        <v>0</v>
      </c>
      <c r="T6" s="136">
        <v>0</v>
      </c>
      <c r="U6" s="505">
        <f>S6+T6</f>
        <v>0</v>
      </c>
      <c r="V6" s="180"/>
      <c r="W6" s="135"/>
      <c r="X6" s="181"/>
      <c r="Y6" s="135"/>
      <c r="Z6" s="135"/>
      <c r="AA6" s="135"/>
      <c r="AB6" s="135"/>
      <c r="AC6" s="137"/>
      <c r="AD6" s="135"/>
      <c r="AE6" s="135"/>
      <c r="AF6" s="135"/>
      <c r="AG6" s="135"/>
      <c r="AH6" s="135"/>
      <c r="AI6" s="135"/>
      <c r="AJ6" s="135"/>
      <c r="AK6" s="135"/>
      <c r="AM6" s="496">
        <f>G6*R6</f>
        <v>0</v>
      </c>
      <c r="AN6" s="490" t="e">
        <f>IF(assumptions!$B$13='VHFA Use'!$C$84,LOOKUP(1,V6:AB6,$V$5:$AB$5),"N/A")</f>
        <v>#N/A</v>
      </c>
    </row>
    <row r="7" spans="1:40" x14ac:dyDescent="0.2">
      <c r="A7" s="311"/>
      <c r="B7" s="130"/>
      <c r="C7" s="131"/>
      <c r="D7" s="131"/>
      <c r="E7" s="131"/>
      <c r="F7" s="131"/>
      <c r="G7" s="132"/>
      <c r="H7" s="131"/>
      <c r="I7" s="131"/>
      <c r="J7" s="131"/>
      <c r="K7" s="131"/>
      <c r="L7" s="442"/>
      <c r="M7" s="442"/>
      <c r="N7" s="442"/>
      <c r="O7" s="442"/>
      <c r="P7" s="133"/>
      <c r="Q7" s="134"/>
      <c r="R7" s="135"/>
      <c r="S7" s="136">
        <v>0</v>
      </c>
      <c r="T7" s="136">
        <v>0</v>
      </c>
      <c r="U7" s="505">
        <f t="shared" ref="U7:U80" si="0">S7+T7</f>
        <v>0</v>
      </c>
      <c r="V7" s="180"/>
      <c r="W7" s="135"/>
      <c r="X7" s="181"/>
      <c r="Y7" s="135"/>
      <c r="Z7" s="135"/>
      <c r="AA7" s="135"/>
      <c r="AB7" s="135"/>
      <c r="AC7" s="137"/>
      <c r="AD7" s="135"/>
      <c r="AE7" s="135"/>
      <c r="AF7" s="135"/>
      <c r="AG7" s="135"/>
      <c r="AH7" s="135"/>
      <c r="AI7" s="135"/>
      <c r="AJ7" s="135"/>
      <c r="AK7" s="135"/>
      <c r="AM7" s="496">
        <f>G7*R7</f>
        <v>0</v>
      </c>
      <c r="AN7" s="490" t="e">
        <f>IF(assumptions!$B$13='VHFA Use'!$C$84,LOOKUP(1,V7:AB7,$V$5:$AB$5),"N/A")</f>
        <v>#N/A</v>
      </c>
    </row>
    <row r="8" spans="1:40" x14ac:dyDescent="0.2">
      <c r="A8" s="311"/>
      <c r="B8" s="130"/>
      <c r="C8" s="131"/>
      <c r="D8" s="131"/>
      <c r="E8" s="131"/>
      <c r="F8" s="131"/>
      <c r="G8" s="132"/>
      <c r="H8" s="131"/>
      <c r="I8" s="131"/>
      <c r="J8" s="131"/>
      <c r="K8" s="131"/>
      <c r="L8" s="442"/>
      <c r="M8" s="442"/>
      <c r="N8" s="442"/>
      <c r="O8" s="442"/>
      <c r="P8" s="133"/>
      <c r="Q8" s="134"/>
      <c r="R8" s="135"/>
      <c r="S8" s="136">
        <v>0</v>
      </c>
      <c r="T8" s="136">
        <v>0</v>
      </c>
      <c r="U8" s="505">
        <f t="shared" si="0"/>
        <v>0</v>
      </c>
      <c r="V8" s="180"/>
      <c r="W8" s="135"/>
      <c r="X8" s="181"/>
      <c r="Y8" s="135"/>
      <c r="Z8" s="135"/>
      <c r="AA8" s="135"/>
      <c r="AB8" s="135"/>
      <c r="AC8" s="137"/>
      <c r="AD8" s="135"/>
      <c r="AE8" s="135"/>
      <c r="AF8" s="135"/>
      <c r="AG8" s="135"/>
      <c r="AH8" s="135"/>
      <c r="AI8" s="135"/>
      <c r="AJ8" s="135"/>
      <c r="AK8" s="135"/>
      <c r="AM8" s="496">
        <f t="shared" ref="AM8:AM37" si="1">G8*R8</f>
        <v>0</v>
      </c>
      <c r="AN8" s="490" t="e">
        <f>IF(assumptions!$B$13='VHFA Use'!$C$84,LOOKUP(1,V8:AB8,$V$5:$AB$5),"N/A")</f>
        <v>#N/A</v>
      </c>
    </row>
    <row r="9" spans="1:40" x14ac:dyDescent="0.2">
      <c r="A9" s="311"/>
      <c r="B9" s="130"/>
      <c r="C9" s="131"/>
      <c r="D9" s="131"/>
      <c r="E9" s="131"/>
      <c r="F9" s="131"/>
      <c r="G9" s="132"/>
      <c r="H9" s="131"/>
      <c r="I9" s="131"/>
      <c r="J9" s="131"/>
      <c r="K9" s="131"/>
      <c r="L9" s="442"/>
      <c r="M9" s="442"/>
      <c r="N9" s="442"/>
      <c r="O9" s="442"/>
      <c r="P9" s="133"/>
      <c r="Q9" s="134"/>
      <c r="R9" s="135"/>
      <c r="S9" s="136">
        <v>0</v>
      </c>
      <c r="T9" s="136">
        <v>0</v>
      </c>
      <c r="U9" s="505">
        <f t="shared" si="0"/>
        <v>0</v>
      </c>
      <c r="V9" s="180"/>
      <c r="W9" s="135"/>
      <c r="X9" s="181"/>
      <c r="Y9" s="135"/>
      <c r="Z9" s="135"/>
      <c r="AA9" s="135"/>
      <c r="AB9" s="135"/>
      <c r="AC9" s="137"/>
      <c r="AD9" s="135"/>
      <c r="AE9" s="135"/>
      <c r="AF9" s="135"/>
      <c r="AG9" s="135"/>
      <c r="AH9" s="135"/>
      <c r="AI9" s="135"/>
      <c r="AJ9" s="135"/>
      <c r="AK9" s="135"/>
      <c r="AM9" s="496">
        <f t="shared" si="1"/>
        <v>0</v>
      </c>
      <c r="AN9" s="490" t="e">
        <f>IF(assumptions!$B$13='VHFA Use'!$C$84,LOOKUP(1,V9:AB9,$V$5:$AB$5),"N/A")</f>
        <v>#N/A</v>
      </c>
    </row>
    <row r="10" spans="1:40" x14ac:dyDescent="0.2">
      <c r="A10" s="311"/>
      <c r="B10" s="130"/>
      <c r="C10" s="131"/>
      <c r="D10" s="131"/>
      <c r="E10" s="131"/>
      <c r="F10" s="131"/>
      <c r="G10" s="132"/>
      <c r="H10" s="131"/>
      <c r="I10" s="131"/>
      <c r="J10" s="131"/>
      <c r="K10" s="131"/>
      <c r="L10" s="442"/>
      <c r="M10" s="442"/>
      <c r="N10" s="442"/>
      <c r="O10" s="442"/>
      <c r="P10" s="133"/>
      <c r="Q10" s="134"/>
      <c r="R10" s="135"/>
      <c r="S10" s="136">
        <v>0</v>
      </c>
      <c r="T10" s="136">
        <v>0</v>
      </c>
      <c r="U10" s="505">
        <f t="shared" si="0"/>
        <v>0</v>
      </c>
      <c r="V10" s="180"/>
      <c r="W10" s="135"/>
      <c r="X10" s="181"/>
      <c r="Y10" s="135"/>
      <c r="Z10" s="135"/>
      <c r="AA10" s="135"/>
      <c r="AB10" s="135"/>
      <c r="AC10" s="137"/>
      <c r="AD10" s="135"/>
      <c r="AE10" s="135"/>
      <c r="AF10" s="135"/>
      <c r="AG10" s="135"/>
      <c r="AH10" s="135"/>
      <c r="AI10" s="135"/>
      <c r="AJ10" s="135"/>
      <c r="AK10" s="135"/>
      <c r="AM10" s="496">
        <f t="shared" si="1"/>
        <v>0</v>
      </c>
      <c r="AN10" s="490" t="e">
        <f>IF(assumptions!$B$13='VHFA Use'!$C$84,LOOKUP(1,V10:AB10,$V$5:$AB$5),"N/A")</f>
        <v>#N/A</v>
      </c>
    </row>
    <row r="11" spans="1:40" x14ac:dyDescent="0.2">
      <c r="A11" s="311"/>
      <c r="B11" s="130"/>
      <c r="C11" s="131"/>
      <c r="D11" s="131"/>
      <c r="E11" s="131"/>
      <c r="F11" s="131"/>
      <c r="G11" s="132"/>
      <c r="H11" s="131"/>
      <c r="I11" s="131"/>
      <c r="J11" s="131"/>
      <c r="K11" s="131"/>
      <c r="L11" s="442"/>
      <c r="M11" s="442"/>
      <c r="N11" s="442"/>
      <c r="O11" s="442"/>
      <c r="P11" s="133"/>
      <c r="Q11" s="134"/>
      <c r="R11" s="135"/>
      <c r="S11" s="136">
        <v>0</v>
      </c>
      <c r="T11" s="136">
        <v>0</v>
      </c>
      <c r="U11" s="505">
        <f t="shared" ref="U11:U47" si="2">S11+T11</f>
        <v>0</v>
      </c>
      <c r="V11" s="180"/>
      <c r="W11" s="135"/>
      <c r="X11" s="181"/>
      <c r="Y11" s="135"/>
      <c r="Z11" s="135"/>
      <c r="AA11" s="135"/>
      <c r="AB11" s="135"/>
      <c r="AC11" s="137"/>
      <c r="AD11" s="135"/>
      <c r="AE11" s="135"/>
      <c r="AF11" s="135"/>
      <c r="AG11" s="135"/>
      <c r="AH11" s="135"/>
      <c r="AI11" s="135"/>
      <c r="AJ11" s="135"/>
      <c r="AK11" s="135"/>
      <c r="AM11" s="496">
        <f t="shared" si="1"/>
        <v>0</v>
      </c>
      <c r="AN11" s="490" t="e">
        <f>IF(assumptions!$B$13='VHFA Use'!$C$84,LOOKUP(1,V11:AB11,$V$5:$AB$5),"N/A")</f>
        <v>#N/A</v>
      </c>
    </row>
    <row r="12" spans="1:40" x14ac:dyDescent="0.2">
      <c r="A12" s="311"/>
      <c r="B12" s="130"/>
      <c r="C12" s="131"/>
      <c r="D12" s="131"/>
      <c r="E12" s="131"/>
      <c r="F12" s="131"/>
      <c r="G12" s="132"/>
      <c r="H12" s="131"/>
      <c r="I12" s="131"/>
      <c r="J12" s="131"/>
      <c r="K12" s="131"/>
      <c r="L12" s="442"/>
      <c r="M12" s="442"/>
      <c r="N12" s="442"/>
      <c r="O12" s="442"/>
      <c r="P12" s="133"/>
      <c r="Q12" s="134"/>
      <c r="R12" s="135"/>
      <c r="S12" s="136">
        <v>0</v>
      </c>
      <c r="T12" s="136">
        <v>0</v>
      </c>
      <c r="U12" s="505">
        <f t="shared" si="2"/>
        <v>0</v>
      </c>
      <c r="V12" s="180"/>
      <c r="W12" s="135"/>
      <c r="X12" s="181"/>
      <c r="Y12" s="135"/>
      <c r="Z12" s="135"/>
      <c r="AA12" s="135"/>
      <c r="AB12" s="135"/>
      <c r="AC12" s="137"/>
      <c r="AD12" s="135"/>
      <c r="AE12" s="135"/>
      <c r="AF12" s="135"/>
      <c r="AG12" s="135"/>
      <c r="AH12" s="135"/>
      <c r="AI12" s="135"/>
      <c r="AJ12" s="135"/>
      <c r="AK12" s="135"/>
      <c r="AM12" s="496">
        <f t="shared" si="1"/>
        <v>0</v>
      </c>
      <c r="AN12" s="490" t="e">
        <f>IF(assumptions!$B$13='VHFA Use'!$C$84,LOOKUP(1,V12:AB12,$V$5:$AB$5),"N/A")</f>
        <v>#N/A</v>
      </c>
    </row>
    <row r="13" spans="1:40" x14ac:dyDescent="0.2">
      <c r="A13" s="311"/>
      <c r="B13" s="130"/>
      <c r="C13" s="131"/>
      <c r="D13" s="131"/>
      <c r="E13" s="131"/>
      <c r="F13" s="131"/>
      <c r="G13" s="132"/>
      <c r="H13" s="131"/>
      <c r="I13" s="131"/>
      <c r="J13" s="131"/>
      <c r="K13" s="131"/>
      <c r="L13" s="442"/>
      <c r="M13" s="442"/>
      <c r="N13" s="442"/>
      <c r="O13" s="442"/>
      <c r="P13" s="133"/>
      <c r="Q13" s="134"/>
      <c r="R13" s="135"/>
      <c r="S13" s="136">
        <v>0</v>
      </c>
      <c r="T13" s="136">
        <v>0</v>
      </c>
      <c r="U13" s="505">
        <f t="shared" si="2"/>
        <v>0</v>
      </c>
      <c r="V13" s="180"/>
      <c r="W13" s="135"/>
      <c r="X13" s="181"/>
      <c r="Y13" s="135"/>
      <c r="Z13" s="135"/>
      <c r="AA13" s="135"/>
      <c r="AB13" s="135"/>
      <c r="AC13" s="137"/>
      <c r="AD13" s="135"/>
      <c r="AE13" s="135"/>
      <c r="AF13" s="135"/>
      <c r="AG13" s="135"/>
      <c r="AH13" s="135"/>
      <c r="AI13" s="135"/>
      <c r="AJ13" s="135"/>
      <c r="AK13" s="135"/>
      <c r="AM13" s="496">
        <f t="shared" si="1"/>
        <v>0</v>
      </c>
      <c r="AN13" s="490" t="e">
        <f>IF(assumptions!$B$13='VHFA Use'!$C$84,LOOKUP(1,V13:AB13,$V$5:$AB$5),"N/A")</f>
        <v>#N/A</v>
      </c>
    </row>
    <row r="14" spans="1:40" x14ac:dyDescent="0.2">
      <c r="A14" s="311"/>
      <c r="B14" s="130"/>
      <c r="C14" s="131"/>
      <c r="D14" s="131"/>
      <c r="E14" s="131"/>
      <c r="F14" s="131"/>
      <c r="G14" s="132"/>
      <c r="H14" s="131"/>
      <c r="I14" s="131"/>
      <c r="J14" s="131"/>
      <c r="K14" s="131"/>
      <c r="L14" s="442"/>
      <c r="M14" s="442"/>
      <c r="N14" s="442"/>
      <c r="O14" s="442"/>
      <c r="P14" s="133"/>
      <c r="Q14" s="134"/>
      <c r="R14" s="135"/>
      <c r="S14" s="136">
        <v>0</v>
      </c>
      <c r="T14" s="136">
        <v>0</v>
      </c>
      <c r="U14" s="505">
        <f t="shared" si="2"/>
        <v>0</v>
      </c>
      <c r="V14" s="180"/>
      <c r="W14" s="135"/>
      <c r="X14" s="181"/>
      <c r="Y14" s="135"/>
      <c r="Z14" s="135"/>
      <c r="AA14" s="135"/>
      <c r="AB14" s="135"/>
      <c r="AC14" s="137"/>
      <c r="AD14" s="135"/>
      <c r="AE14" s="135"/>
      <c r="AF14" s="135"/>
      <c r="AG14" s="135"/>
      <c r="AH14" s="135"/>
      <c r="AI14" s="135"/>
      <c r="AJ14" s="135"/>
      <c r="AK14" s="135"/>
      <c r="AM14" s="496">
        <f t="shared" si="1"/>
        <v>0</v>
      </c>
      <c r="AN14" s="490" t="e">
        <f>IF(assumptions!$B$13='VHFA Use'!$C$84,LOOKUP(1,V14:AB14,$V$5:$AB$5),"N/A")</f>
        <v>#N/A</v>
      </c>
    </row>
    <row r="15" spans="1:40" x14ac:dyDescent="0.2">
      <c r="A15" s="311"/>
      <c r="B15" s="130"/>
      <c r="C15" s="131"/>
      <c r="D15" s="131"/>
      <c r="E15" s="131"/>
      <c r="F15" s="131"/>
      <c r="G15" s="132"/>
      <c r="H15" s="131"/>
      <c r="I15" s="131"/>
      <c r="J15" s="131"/>
      <c r="K15" s="131"/>
      <c r="L15" s="442"/>
      <c r="M15" s="442"/>
      <c r="N15" s="442"/>
      <c r="O15" s="442"/>
      <c r="P15" s="133"/>
      <c r="Q15" s="134"/>
      <c r="R15" s="135"/>
      <c r="S15" s="136">
        <v>0</v>
      </c>
      <c r="T15" s="136">
        <v>0</v>
      </c>
      <c r="U15" s="505">
        <f t="shared" si="2"/>
        <v>0</v>
      </c>
      <c r="V15" s="180"/>
      <c r="W15" s="135"/>
      <c r="X15" s="181"/>
      <c r="Y15" s="135"/>
      <c r="Z15" s="135"/>
      <c r="AA15" s="135"/>
      <c r="AB15" s="135"/>
      <c r="AC15" s="137"/>
      <c r="AD15" s="135"/>
      <c r="AE15" s="135"/>
      <c r="AF15" s="135"/>
      <c r="AG15" s="135"/>
      <c r="AH15" s="135"/>
      <c r="AI15" s="135"/>
      <c r="AJ15" s="135"/>
      <c r="AK15" s="135"/>
      <c r="AM15" s="496">
        <f t="shared" si="1"/>
        <v>0</v>
      </c>
      <c r="AN15" s="490" t="e">
        <f>IF(assumptions!$B$13='VHFA Use'!$C$84,LOOKUP(1,V15:AB15,$V$5:$AB$5),"N/A")</f>
        <v>#N/A</v>
      </c>
    </row>
    <row r="16" spans="1:40" x14ac:dyDescent="0.2">
      <c r="A16" s="311"/>
      <c r="B16" s="130"/>
      <c r="C16" s="131"/>
      <c r="D16" s="131"/>
      <c r="E16" s="131"/>
      <c r="F16" s="131"/>
      <c r="G16" s="132"/>
      <c r="H16" s="131"/>
      <c r="I16" s="131"/>
      <c r="J16" s="131"/>
      <c r="K16" s="131"/>
      <c r="L16" s="442"/>
      <c r="M16" s="442"/>
      <c r="N16" s="442"/>
      <c r="O16" s="442"/>
      <c r="P16" s="133"/>
      <c r="Q16" s="134"/>
      <c r="R16" s="135"/>
      <c r="S16" s="136">
        <v>0</v>
      </c>
      <c r="T16" s="136">
        <v>0</v>
      </c>
      <c r="U16" s="505">
        <f t="shared" si="2"/>
        <v>0</v>
      </c>
      <c r="V16" s="180"/>
      <c r="W16" s="135"/>
      <c r="X16" s="181"/>
      <c r="Y16" s="135"/>
      <c r="Z16" s="135"/>
      <c r="AA16" s="135"/>
      <c r="AB16" s="135"/>
      <c r="AC16" s="137"/>
      <c r="AD16" s="135"/>
      <c r="AE16" s="135"/>
      <c r="AF16" s="135"/>
      <c r="AG16" s="135"/>
      <c r="AH16" s="135"/>
      <c r="AI16" s="135"/>
      <c r="AJ16" s="135"/>
      <c r="AK16" s="135"/>
      <c r="AM16" s="496">
        <f t="shared" si="1"/>
        <v>0</v>
      </c>
      <c r="AN16" s="490" t="e">
        <f>IF(assumptions!$B$13='VHFA Use'!$C$84,LOOKUP(1,V16:AB16,$V$5:$AB$5),"N/A")</f>
        <v>#N/A</v>
      </c>
    </row>
    <row r="17" spans="1:40" x14ac:dyDescent="0.2">
      <c r="A17" s="311"/>
      <c r="B17" s="130"/>
      <c r="C17" s="131"/>
      <c r="D17" s="131"/>
      <c r="E17" s="131"/>
      <c r="F17" s="131"/>
      <c r="G17" s="132"/>
      <c r="H17" s="131"/>
      <c r="I17" s="131"/>
      <c r="J17" s="131"/>
      <c r="K17" s="131"/>
      <c r="L17" s="442"/>
      <c r="M17" s="442"/>
      <c r="N17" s="442"/>
      <c r="O17" s="442"/>
      <c r="P17" s="133"/>
      <c r="Q17" s="134"/>
      <c r="R17" s="135"/>
      <c r="S17" s="136">
        <v>0</v>
      </c>
      <c r="T17" s="136">
        <v>0</v>
      </c>
      <c r="U17" s="505">
        <f t="shared" si="2"/>
        <v>0</v>
      </c>
      <c r="V17" s="180"/>
      <c r="W17" s="135"/>
      <c r="X17" s="181"/>
      <c r="Y17" s="135"/>
      <c r="Z17" s="135"/>
      <c r="AA17" s="135"/>
      <c r="AB17" s="135"/>
      <c r="AC17" s="137"/>
      <c r="AD17" s="135"/>
      <c r="AE17" s="135"/>
      <c r="AF17" s="135"/>
      <c r="AG17" s="135"/>
      <c r="AH17" s="135"/>
      <c r="AI17" s="135"/>
      <c r="AJ17" s="135"/>
      <c r="AK17" s="135"/>
      <c r="AM17" s="496">
        <f t="shared" si="1"/>
        <v>0</v>
      </c>
      <c r="AN17" s="490" t="e">
        <f>IF(assumptions!$B$13='VHFA Use'!$C$84,LOOKUP(1,V17:AB17,$V$5:$AB$5),"N/A")</f>
        <v>#N/A</v>
      </c>
    </row>
    <row r="18" spans="1:40" x14ac:dyDescent="0.2">
      <c r="A18" s="311"/>
      <c r="B18" s="130"/>
      <c r="C18" s="131"/>
      <c r="D18" s="131"/>
      <c r="E18" s="131"/>
      <c r="F18" s="131"/>
      <c r="G18" s="132"/>
      <c r="H18" s="131"/>
      <c r="I18" s="131"/>
      <c r="J18" s="131"/>
      <c r="K18" s="131"/>
      <c r="L18" s="442"/>
      <c r="M18" s="442"/>
      <c r="N18" s="442"/>
      <c r="O18" s="442"/>
      <c r="P18" s="133"/>
      <c r="Q18" s="134"/>
      <c r="R18" s="135"/>
      <c r="S18" s="136">
        <v>0</v>
      </c>
      <c r="T18" s="136">
        <v>0</v>
      </c>
      <c r="U18" s="505">
        <f t="shared" ref="U18:U34" si="3">S18+T18</f>
        <v>0</v>
      </c>
      <c r="V18" s="180"/>
      <c r="W18" s="135"/>
      <c r="X18" s="181"/>
      <c r="Y18" s="135"/>
      <c r="Z18" s="135"/>
      <c r="AA18" s="135"/>
      <c r="AB18" s="135"/>
      <c r="AC18" s="137"/>
      <c r="AD18" s="135"/>
      <c r="AE18" s="135"/>
      <c r="AF18" s="135"/>
      <c r="AG18" s="135"/>
      <c r="AH18" s="135"/>
      <c r="AI18" s="135"/>
      <c r="AJ18" s="135"/>
      <c r="AK18" s="135"/>
      <c r="AM18" s="496">
        <f t="shared" si="1"/>
        <v>0</v>
      </c>
      <c r="AN18" s="490" t="e">
        <f>IF(assumptions!$B$13='VHFA Use'!$C$84,LOOKUP(1,V18:AB18,$V$5:$AB$5),"N/A")</f>
        <v>#N/A</v>
      </c>
    </row>
    <row r="19" spans="1:40" x14ac:dyDescent="0.2">
      <c r="A19" s="311"/>
      <c r="B19" s="130"/>
      <c r="C19" s="131"/>
      <c r="D19" s="131"/>
      <c r="E19" s="131"/>
      <c r="F19" s="131"/>
      <c r="G19" s="132"/>
      <c r="H19" s="131"/>
      <c r="I19" s="131"/>
      <c r="J19" s="131"/>
      <c r="K19" s="131"/>
      <c r="L19" s="442"/>
      <c r="M19" s="442"/>
      <c r="N19" s="442"/>
      <c r="O19" s="442"/>
      <c r="P19" s="133"/>
      <c r="Q19" s="134"/>
      <c r="R19" s="135"/>
      <c r="S19" s="136">
        <v>0</v>
      </c>
      <c r="T19" s="136">
        <v>0</v>
      </c>
      <c r="U19" s="505">
        <f t="shared" si="3"/>
        <v>0</v>
      </c>
      <c r="V19" s="180"/>
      <c r="W19" s="135"/>
      <c r="X19" s="181"/>
      <c r="Y19" s="135"/>
      <c r="Z19" s="135"/>
      <c r="AA19" s="135"/>
      <c r="AB19" s="135"/>
      <c r="AC19" s="137"/>
      <c r="AD19" s="135"/>
      <c r="AE19" s="135"/>
      <c r="AF19" s="135"/>
      <c r="AG19" s="135"/>
      <c r="AH19" s="135"/>
      <c r="AI19" s="135"/>
      <c r="AJ19" s="135"/>
      <c r="AK19" s="135"/>
      <c r="AM19" s="496">
        <f t="shared" si="1"/>
        <v>0</v>
      </c>
      <c r="AN19" s="490" t="e">
        <f>IF(assumptions!$B$13='VHFA Use'!$C$84,LOOKUP(1,V19:AB19,$V$5:$AB$5),"N/A")</f>
        <v>#N/A</v>
      </c>
    </row>
    <row r="20" spans="1:40" x14ac:dyDescent="0.2">
      <c r="A20" s="311"/>
      <c r="B20" s="130"/>
      <c r="C20" s="131"/>
      <c r="D20" s="131"/>
      <c r="E20" s="131"/>
      <c r="F20" s="131"/>
      <c r="G20" s="132"/>
      <c r="H20" s="131"/>
      <c r="I20" s="131"/>
      <c r="J20" s="131"/>
      <c r="K20" s="131"/>
      <c r="L20" s="442"/>
      <c r="M20" s="442"/>
      <c r="N20" s="442"/>
      <c r="O20" s="442"/>
      <c r="P20" s="133"/>
      <c r="Q20" s="134"/>
      <c r="R20" s="135"/>
      <c r="S20" s="136">
        <v>0</v>
      </c>
      <c r="T20" s="136">
        <v>0</v>
      </c>
      <c r="U20" s="505">
        <f t="shared" si="3"/>
        <v>0</v>
      </c>
      <c r="V20" s="180"/>
      <c r="W20" s="135"/>
      <c r="X20" s="181"/>
      <c r="Y20" s="135"/>
      <c r="Z20" s="135"/>
      <c r="AA20" s="135"/>
      <c r="AB20" s="135"/>
      <c r="AC20" s="137"/>
      <c r="AD20" s="135"/>
      <c r="AE20" s="135"/>
      <c r="AF20" s="135"/>
      <c r="AG20" s="135"/>
      <c r="AH20" s="135"/>
      <c r="AI20" s="135"/>
      <c r="AJ20" s="135"/>
      <c r="AK20" s="135"/>
      <c r="AM20" s="496">
        <f t="shared" si="1"/>
        <v>0</v>
      </c>
      <c r="AN20" s="490" t="e">
        <f>IF(assumptions!$B$13='VHFA Use'!$C$84,LOOKUP(1,V20:AB20,$V$5:$AB$5),"N/A")</f>
        <v>#N/A</v>
      </c>
    </row>
    <row r="21" spans="1:40" x14ac:dyDescent="0.2">
      <c r="A21" s="311"/>
      <c r="B21" s="130"/>
      <c r="C21" s="131"/>
      <c r="D21" s="131"/>
      <c r="E21" s="131"/>
      <c r="F21" s="131"/>
      <c r="G21" s="132"/>
      <c r="H21" s="131"/>
      <c r="I21" s="131"/>
      <c r="J21" s="131"/>
      <c r="K21" s="131"/>
      <c r="L21" s="442"/>
      <c r="M21" s="442"/>
      <c r="N21" s="442"/>
      <c r="O21" s="442"/>
      <c r="P21" s="133"/>
      <c r="Q21" s="134"/>
      <c r="R21" s="135"/>
      <c r="S21" s="136">
        <v>0</v>
      </c>
      <c r="T21" s="136">
        <v>0</v>
      </c>
      <c r="U21" s="505">
        <f t="shared" si="3"/>
        <v>0</v>
      </c>
      <c r="V21" s="180"/>
      <c r="W21" s="135"/>
      <c r="X21" s="181"/>
      <c r="Y21" s="135"/>
      <c r="Z21" s="135"/>
      <c r="AA21" s="135"/>
      <c r="AB21" s="135"/>
      <c r="AC21" s="137"/>
      <c r="AD21" s="135"/>
      <c r="AE21" s="135"/>
      <c r="AF21" s="135"/>
      <c r="AG21" s="135"/>
      <c r="AH21" s="135"/>
      <c r="AI21" s="135"/>
      <c r="AJ21" s="135"/>
      <c r="AK21" s="135"/>
      <c r="AM21" s="496">
        <f t="shared" si="1"/>
        <v>0</v>
      </c>
      <c r="AN21" s="490" t="e">
        <f>IF(assumptions!$B$13='VHFA Use'!$C$84,LOOKUP(1,V21:AB21,$V$5:$AB$5),"N/A")</f>
        <v>#N/A</v>
      </c>
    </row>
    <row r="22" spans="1:40" x14ac:dyDescent="0.2">
      <c r="A22" s="311"/>
      <c r="B22" s="130"/>
      <c r="C22" s="131"/>
      <c r="D22" s="131"/>
      <c r="E22" s="131"/>
      <c r="F22" s="131"/>
      <c r="G22" s="132"/>
      <c r="H22" s="131"/>
      <c r="I22" s="131"/>
      <c r="J22" s="131"/>
      <c r="K22" s="131"/>
      <c r="L22" s="442"/>
      <c r="M22" s="442"/>
      <c r="N22" s="442"/>
      <c r="O22" s="442"/>
      <c r="P22" s="133"/>
      <c r="Q22" s="134"/>
      <c r="R22" s="135"/>
      <c r="S22" s="136">
        <v>0</v>
      </c>
      <c r="T22" s="136">
        <v>0</v>
      </c>
      <c r="U22" s="505">
        <f t="shared" si="3"/>
        <v>0</v>
      </c>
      <c r="V22" s="180"/>
      <c r="W22" s="135"/>
      <c r="X22" s="181"/>
      <c r="Y22" s="135"/>
      <c r="Z22" s="135"/>
      <c r="AA22" s="135"/>
      <c r="AB22" s="135"/>
      <c r="AC22" s="137"/>
      <c r="AD22" s="135"/>
      <c r="AE22" s="135"/>
      <c r="AF22" s="135"/>
      <c r="AG22" s="135"/>
      <c r="AH22" s="135"/>
      <c r="AI22" s="135"/>
      <c r="AJ22" s="135"/>
      <c r="AK22" s="135"/>
      <c r="AM22" s="496">
        <f t="shared" si="1"/>
        <v>0</v>
      </c>
      <c r="AN22" s="490" t="e">
        <f>IF(assumptions!$B$13='VHFA Use'!$C$84,LOOKUP(1,V22:AB22,$V$5:$AB$5),"N/A")</f>
        <v>#N/A</v>
      </c>
    </row>
    <row r="23" spans="1:40" x14ac:dyDescent="0.2">
      <c r="A23" s="311"/>
      <c r="B23" s="130"/>
      <c r="C23" s="131"/>
      <c r="D23" s="131"/>
      <c r="E23" s="131"/>
      <c r="F23" s="131"/>
      <c r="G23" s="132"/>
      <c r="H23" s="131"/>
      <c r="I23" s="131"/>
      <c r="J23" s="131"/>
      <c r="K23" s="131"/>
      <c r="L23" s="442"/>
      <c r="M23" s="442"/>
      <c r="N23" s="442"/>
      <c r="O23" s="442"/>
      <c r="P23" s="133"/>
      <c r="Q23" s="134"/>
      <c r="R23" s="135"/>
      <c r="S23" s="136">
        <v>0</v>
      </c>
      <c r="T23" s="136">
        <v>0</v>
      </c>
      <c r="U23" s="505">
        <f t="shared" si="3"/>
        <v>0</v>
      </c>
      <c r="V23" s="180"/>
      <c r="W23" s="135"/>
      <c r="X23" s="181"/>
      <c r="Y23" s="135"/>
      <c r="Z23" s="135"/>
      <c r="AA23" s="135"/>
      <c r="AB23" s="135"/>
      <c r="AC23" s="137"/>
      <c r="AD23" s="135"/>
      <c r="AE23" s="135"/>
      <c r="AF23" s="135"/>
      <c r="AG23" s="135"/>
      <c r="AH23" s="135"/>
      <c r="AI23" s="135"/>
      <c r="AJ23" s="135"/>
      <c r="AK23" s="135"/>
      <c r="AM23" s="496">
        <f t="shared" si="1"/>
        <v>0</v>
      </c>
      <c r="AN23" s="490" t="e">
        <f>IF(assumptions!$B$13='VHFA Use'!$C$84,LOOKUP(1,V23:AB23,$V$5:$AB$5),"N/A")</f>
        <v>#N/A</v>
      </c>
    </row>
    <row r="24" spans="1:40" x14ac:dyDescent="0.2">
      <c r="A24" s="311"/>
      <c r="B24" s="130"/>
      <c r="C24" s="131"/>
      <c r="D24" s="131"/>
      <c r="E24" s="131"/>
      <c r="F24" s="131"/>
      <c r="G24" s="132"/>
      <c r="H24" s="131"/>
      <c r="I24" s="131"/>
      <c r="J24" s="131"/>
      <c r="K24" s="131"/>
      <c r="L24" s="442"/>
      <c r="M24" s="442"/>
      <c r="N24" s="442"/>
      <c r="O24" s="442"/>
      <c r="P24" s="133"/>
      <c r="Q24" s="134"/>
      <c r="R24" s="135"/>
      <c r="S24" s="136">
        <v>0</v>
      </c>
      <c r="T24" s="136">
        <v>0</v>
      </c>
      <c r="U24" s="505">
        <f t="shared" si="3"/>
        <v>0</v>
      </c>
      <c r="V24" s="180"/>
      <c r="W24" s="135"/>
      <c r="X24" s="181"/>
      <c r="Y24" s="135"/>
      <c r="Z24" s="135"/>
      <c r="AA24" s="135"/>
      <c r="AB24" s="135"/>
      <c r="AC24" s="137"/>
      <c r="AD24" s="135"/>
      <c r="AE24" s="135"/>
      <c r="AF24" s="135"/>
      <c r="AG24" s="135"/>
      <c r="AH24" s="135"/>
      <c r="AI24" s="135"/>
      <c r="AJ24" s="135"/>
      <c r="AK24" s="135"/>
      <c r="AM24" s="496">
        <f t="shared" si="1"/>
        <v>0</v>
      </c>
      <c r="AN24" s="490" t="e">
        <f>IF(assumptions!$B$13='VHFA Use'!$C$84,LOOKUP(1,V24:AB24,$V$5:$AB$5),"N/A")</f>
        <v>#N/A</v>
      </c>
    </row>
    <row r="25" spans="1:40" x14ac:dyDescent="0.2">
      <c r="A25" s="311"/>
      <c r="B25" s="130"/>
      <c r="C25" s="131"/>
      <c r="D25" s="131"/>
      <c r="E25" s="131"/>
      <c r="F25" s="131"/>
      <c r="G25" s="132"/>
      <c r="H25" s="131"/>
      <c r="I25" s="131"/>
      <c r="J25" s="131"/>
      <c r="K25" s="131"/>
      <c r="L25" s="442"/>
      <c r="M25" s="442"/>
      <c r="N25" s="442"/>
      <c r="O25" s="442"/>
      <c r="P25" s="133"/>
      <c r="Q25" s="134"/>
      <c r="R25" s="135"/>
      <c r="S25" s="136">
        <v>0</v>
      </c>
      <c r="T25" s="136">
        <v>0</v>
      </c>
      <c r="U25" s="505">
        <f t="shared" si="3"/>
        <v>0</v>
      </c>
      <c r="V25" s="180"/>
      <c r="W25" s="135"/>
      <c r="X25" s="181"/>
      <c r="Y25" s="135"/>
      <c r="Z25" s="135"/>
      <c r="AA25" s="135"/>
      <c r="AB25" s="135"/>
      <c r="AC25" s="137"/>
      <c r="AD25" s="135"/>
      <c r="AE25" s="135"/>
      <c r="AF25" s="135"/>
      <c r="AG25" s="135"/>
      <c r="AH25" s="135"/>
      <c r="AI25" s="135"/>
      <c r="AJ25" s="135"/>
      <c r="AK25" s="135"/>
      <c r="AM25" s="496">
        <f t="shared" si="1"/>
        <v>0</v>
      </c>
      <c r="AN25" s="490" t="e">
        <f>IF(assumptions!$B$13='VHFA Use'!$C$84,LOOKUP(1,V25:AB25,$V$5:$AB$5),"N/A")</f>
        <v>#N/A</v>
      </c>
    </row>
    <row r="26" spans="1:40" x14ac:dyDescent="0.2">
      <c r="A26" s="311"/>
      <c r="B26" s="130"/>
      <c r="C26" s="131"/>
      <c r="D26" s="131"/>
      <c r="E26" s="131"/>
      <c r="F26" s="131"/>
      <c r="G26" s="132"/>
      <c r="H26" s="131"/>
      <c r="I26" s="131"/>
      <c r="J26" s="131"/>
      <c r="K26" s="131"/>
      <c r="L26" s="442"/>
      <c r="M26" s="442"/>
      <c r="N26" s="442"/>
      <c r="O26" s="442"/>
      <c r="P26" s="133"/>
      <c r="Q26" s="134"/>
      <c r="R26" s="135"/>
      <c r="S26" s="136">
        <v>0</v>
      </c>
      <c r="T26" s="136">
        <v>0</v>
      </c>
      <c r="U26" s="505">
        <f t="shared" si="3"/>
        <v>0</v>
      </c>
      <c r="V26" s="180"/>
      <c r="W26" s="135"/>
      <c r="X26" s="181"/>
      <c r="Y26" s="135"/>
      <c r="Z26" s="135"/>
      <c r="AA26" s="135"/>
      <c r="AB26" s="135"/>
      <c r="AC26" s="137"/>
      <c r="AD26" s="135"/>
      <c r="AE26" s="135"/>
      <c r="AF26" s="135"/>
      <c r="AG26" s="135"/>
      <c r="AH26" s="135"/>
      <c r="AI26" s="135"/>
      <c r="AJ26" s="135"/>
      <c r="AK26" s="135"/>
      <c r="AM26" s="496">
        <f t="shared" si="1"/>
        <v>0</v>
      </c>
      <c r="AN26" s="490" t="e">
        <f>IF(assumptions!$B$13='VHFA Use'!$C$84,LOOKUP(1,V26:AB26,$V$5:$AB$5),"N/A")</f>
        <v>#N/A</v>
      </c>
    </row>
    <row r="27" spans="1:40" x14ac:dyDescent="0.2">
      <c r="A27" s="311"/>
      <c r="B27" s="130"/>
      <c r="C27" s="131"/>
      <c r="D27" s="131"/>
      <c r="E27" s="131"/>
      <c r="F27" s="131"/>
      <c r="G27" s="132"/>
      <c r="H27" s="131"/>
      <c r="I27" s="131"/>
      <c r="J27" s="131"/>
      <c r="K27" s="131"/>
      <c r="L27" s="442"/>
      <c r="M27" s="442"/>
      <c r="N27" s="442"/>
      <c r="O27" s="442"/>
      <c r="P27" s="133"/>
      <c r="Q27" s="134"/>
      <c r="R27" s="135"/>
      <c r="S27" s="136">
        <v>0</v>
      </c>
      <c r="T27" s="136">
        <v>0</v>
      </c>
      <c r="U27" s="505">
        <f t="shared" si="3"/>
        <v>0</v>
      </c>
      <c r="V27" s="180"/>
      <c r="W27" s="135"/>
      <c r="X27" s="181"/>
      <c r="Y27" s="135"/>
      <c r="Z27" s="135"/>
      <c r="AA27" s="135"/>
      <c r="AB27" s="135"/>
      <c r="AC27" s="137"/>
      <c r="AD27" s="135"/>
      <c r="AE27" s="135"/>
      <c r="AF27" s="135"/>
      <c r="AG27" s="135"/>
      <c r="AH27" s="135"/>
      <c r="AI27" s="135"/>
      <c r="AJ27" s="135"/>
      <c r="AK27" s="135"/>
      <c r="AM27" s="496">
        <f t="shared" si="1"/>
        <v>0</v>
      </c>
      <c r="AN27" s="490" t="e">
        <f>IF(assumptions!$B$13='VHFA Use'!$C$84,LOOKUP(1,V27:AB27,$V$5:$AB$5),"N/A")</f>
        <v>#N/A</v>
      </c>
    </row>
    <row r="28" spans="1:40" x14ac:dyDescent="0.2">
      <c r="A28" s="311"/>
      <c r="B28" s="130"/>
      <c r="C28" s="131"/>
      <c r="D28" s="131"/>
      <c r="E28" s="131"/>
      <c r="F28" s="131"/>
      <c r="G28" s="132"/>
      <c r="H28" s="131"/>
      <c r="I28" s="131"/>
      <c r="J28" s="131"/>
      <c r="K28" s="131"/>
      <c r="L28" s="442"/>
      <c r="M28" s="442"/>
      <c r="N28" s="442"/>
      <c r="O28" s="442"/>
      <c r="P28" s="133"/>
      <c r="Q28" s="134"/>
      <c r="R28" s="135"/>
      <c r="S28" s="136">
        <v>0</v>
      </c>
      <c r="T28" s="136">
        <v>0</v>
      </c>
      <c r="U28" s="505">
        <f t="shared" si="3"/>
        <v>0</v>
      </c>
      <c r="V28" s="180"/>
      <c r="W28" s="135"/>
      <c r="X28" s="181"/>
      <c r="Y28" s="135"/>
      <c r="Z28" s="135"/>
      <c r="AA28" s="135"/>
      <c r="AB28" s="135"/>
      <c r="AC28" s="137"/>
      <c r="AD28" s="135"/>
      <c r="AE28" s="135"/>
      <c r="AF28" s="135"/>
      <c r="AG28" s="135"/>
      <c r="AH28" s="135"/>
      <c r="AI28" s="135"/>
      <c r="AJ28" s="135"/>
      <c r="AK28" s="135"/>
      <c r="AM28" s="496">
        <f t="shared" si="1"/>
        <v>0</v>
      </c>
      <c r="AN28" s="490" t="e">
        <f>IF(assumptions!$B$13='VHFA Use'!$C$84,LOOKUP(1,V28:AB28,$V$5:$AB$5),"N/A")</f>
        <v>#N/A</v>
      </c>
    </row>
    <row r="29" spans="1:40" x14ac:dyDescent="0.2">
      <c r="A29" s="311"/>
      <c r="B29" s="130"/>
      <c r="C29" s="131"/>
      <c r="D29" s="131"/>
      <c r="E29" s="131"/>
      <c r="F29" s="131"/>
      <c r="G29" s="132"/>
      <c r="H29" s="131"/>
      <c r="I29" s="131"/>
      <c r="J29" s="131"/>
      <c r="K29" s="131"/>
      <c r="L29" s="442"/>
      <c r="M29" s="442"/>
      <c r="N29" s="442"/>
      <c r="O29" s="442"/>
      <c r="P29" s="133"/>
      <c r="Q29" s="134"/>
      <c r="R29" s="135"/>
      <c r="S29" s="136">
        <v>0</v>
      </c>
      <c r="T29" s="136">
        <v>0</v>
      </c>
      <c r="U29" s="505">
        <f t="shared" si="3"/>
        <v>0</v>
      </c>
      <c r="V29" s="180"/>
      <c r="W29" s="135"/>
      <c r="X29" s="181"/>
      <c r="Y29" s="135"/>
      <c r="Z29" s="135"/>
      <c r="AA29" s="135"/>
      <c r="AB29" s="135"/>
      <c r="AC29" s="137"/>
      <c r="AD29" s="135"/>
      <c r="AE29" s="135"/>
      <c r="AF29" s="135"/>
      <c r="AG29" s="135"/>
      <c r="AH29" s="135"/>
      <c r="AI29" s="135"/>
      <c r="AJ29" s="135"/>
      <c r="AK29" s="135"/>
      <c r="AM29" s="496">
        <f t="shared" si="1"/>
        <v>0</v>
      </c>
      <c r="AN29" s="490" t="e">
        <f>IF(assumptions!$B$13='VHFA Use'!$C$84,LOOKUP(1,V29:AB29,$V$5:$AB$5),"N/A")</f>
        <v>#N/A</v>
      </c>
    </row>
    <row r="30" spans="1:40" x14ac:dyDescent="0.2">
      <c r="A30" s="311"/>
      <c r="B30" s="130"/>
      <c r="C30" s="131"/>
      <c r="D30" s="131"/>
      <c r="E30" s="131"/>
      <c r="F30" s="131"/>
      <c r="G30" s="132"/>
      <c r="H30" s="131"/>
      <c r="I30" s="131"/>
      <c r="J30" s="131"/>
      <c r="K30" s="131"/>
      <c r="L30" s="442"/>
      <c r="M30" s="442"/>
      <c r="N30" s="442"/>
      <c r="O30" s="442"/>
      <c r="P30" s="133"/>
      <c r="Q30" s="134"/>
      <c r="R30" s="135"/>
      <c r="S30" s="136">
        <v>0</v>
      </c>
      <c r="T30" s="136">
        <v>0</v>
      </c>
      <c r="U30" s="505">
        <f t="shared" si="3"/>
        <v>0</v>
      </c>
      <c r="V30" s="180"/>
      <c r="W30" s="135"/>
      <c r="X30" s="181"/>
      <c r="Y30" s="135"/>
      <c r="Z30" s="135"/>
      <c r="AA30" s="135"/>
      <c r="AB30" s="135"/>
      <c r="AC30" s="137"/>
      <c r="AD30" s="135"/>
      <c r="AE30" s="135"/>
      <c r="AF30" s="135"/>
      <c r="AG30" s="135"/>
      <c r="AH30" s="135"/>
      <c r="AI30" s="135"/>
      <c r="AJ30" s="135"/>
      <c r="AK30" s="135"/>
      <c r="AM30" s="496">
        <f t="shared" si="1"/>
        <v>0</v>
      </c>
      <c r="AN30" s="490" t="e">
        <f>IF(assumptions!$B$13='VHFA Use'!$C$84,LOOKUP(1,V30:AB30,$V$5:$AB$5),"N/A")</f>
        <v>#N/A</v>
      </c>
    </row>
    <row r="31" spans="1:40" x14ac:dyDescent="0.2">
      <c r="A31" s="311"/>
      <c r="B31" s="130"/>
      <c r="C31" s="131"/>
      <c r="D31" s="131"/>
      <c r="E31" s="131"/>
      <c r="F31" s="131"/>
      <c r="G31" s="132"/>
      <c r="H31" s="131"/>
      <c r="I31" s="131"/>
      <c r="J31" s="131"/>
      <c r="K31" s="131"/>
      <c r="L31" s="442"/>
      <c r="M31" s="442"/>
      <c r="N31" s="442"/>
      <c r="O31" s="442"/>
      <c r="P31" s="133"/>
      <c r="Q31" s="134"/>
      <c r="R31" s="135"/>
      <c r="S31" s="136">
        <v>0</v>
      </c>
      <c r="T31" s="136">
        <v>0</v>
      </c>
      <c r="U31" s="505">
        <f t="shared" si="3"/>
        <v>0</v>
      </c>
      <c r="V31" s="180"/>
      <c r="W31" s="135"/>
      <c r="X31" s="181"/>
      <c r="Y31" s="135"/>
      <c r="Z31" s="135"/>
      <c r="AA31" s="135"/>
      <c r="AB31" s="135"/>
      <c r="AC31" s="137"/>
      <c r="AD31" s="135"/>
      <c r="AE31" s="135"/>
      <c r="AF31" s="135"/>
      <c r="AG31" s="135"/>
      <c r="AH31" s="135"/>
      <c r="AI31" s="135"/>
      <c r="AJ31" s="135"/>
      <c r="AK31" s="135"/>
      <c r="AM31" s="496">
        <f t="shared" si="1"/>
        <v>0</v>
      </c>
      <c r="AN31" s="490" t="e">
        <f>IF(assumptions!$B$13='VHFA Use'!$C$84,LOOKUP(1,V31:AB31,$V$5:$AB$5),"N/A")</f>
        <v>#N/A</v>
      </c>
    </row>
    <row r="32" spans="1:40" x14ac:dyDescent="0.2">
      <c r="A32" s="311"/>
      <c r="B32" s="130"/>
      <c r="C32" s="131"/>
      <c r="D32" s="131"/>
      <c r="E32" s="131"/>
      <c r="F32" s="131"/>
      <c r="G32" s="132"/>
      <c r="H32" s="131"/>
      <c r="I32" s="131"/>
      <c r="J32" s="131"/>
      <c r="K32" s="131"/>
      <c r="L32" s="442"/>
      <c r="M32" s="442"/>
      <c r="N32" s="442"/>
      <c r="O32" s="442"/>
      <c r="P32" s="133"/>
      <c r="Q32" s="134"/>
      <c r="R32" s="135"/>
      <c r="S32" s="136">
        <v>0</v>
      </c>
      <c r="T32" s="136">
        <v>0</v>
      </c>
      <c r="U32" s="505">
        <f t="shared" si="3"/>
        <v>0</v>
      </c>
      <c r="V32" s="180"/>
      <c r="W32" s="135"/>
      <c r="X32" s="181"/>
      <c r="Y32" s="135"/>
      <c r="Z32" s="135"/>
      <c r="AA32" s="135"/>
      <c r="AB32" s="135"/>
      <c r="AC32" s="137"/>
      <c r="AD32" s="135"/>
      <c r="AE32" s="135"/>
      <c r="AF32" s="135"/>
      <c r="AG32" s="135"/>
      <c r="AH32" s="135"/>
      <c r="AI32" s="135"/>
      <c r="AJ32" s="135"/>
      <c r="AK32" s="135"/>
      <c r="AM32" s="496">
        <f t="shared" si="1"/>
        <v>0</v>
      </c>
      <c r="AN32" s="490" t="e">
        <f>IF(assumptions!$B$13='VHFA Use'!$C$84,LOOKUP(1,V32:AB32,$V$5:$AB$5),"N/A")</f>
        <v>#N/A</v>
      </c>
    </row>
    <row r="33" spans="1:40" x14ac:dyDescent="0.2">
      <c r="A33" s="311"/>
      <c r="B33" s="130"/>
      <c r="C33" s="131"/>
      <c r="D33" s="131"/>
      <c r="E33" s="131"/>
      <c r="F33" s="131"/>
      <c r="G33" s="132"/>
      <c r="H33" s="131"/>
      <c r="I33" s="131"/>
      <c r="J33" s="131"/>
      <c r="K33" s="131"/>
      <c r="L33" s="442"/>
      <c r="M33" s="442"/>
      <c r="N33" s="442"/>
      <c r="O33" s="442"/>
      <c r="P33" s="133"/>
      <c r="Q33" s="134"/>
      <c r="R33" s="135"/>
      <c r="S33" s="136">
        <v>0</v>
      </c>
      <c r="T33" s="136">
        <v>0</v>
      </c>
      <c r="U33" s="505">
        <f t="shared" si="3"/>
        <v>0</v>
      </c>
      <c r="V33" s="180"/>
      <c r="W33" s="135"/>
      <c r="X33" s="181"/>
      <c r="Y33" s="135"/>
      <c r="Z33" s="135"/>
      <c r="AA33" s="135"/>
      <c r="AB33" s="135"/>
      <c r="AC33" s="137"/>
      <c r="AD33" s="135"/>
      <c r="AE33" s="135"/>
      <c r="AF33" s="135"/>
      <c r="AG33" s="135"/>
      <c r="AH33" s="135"/>
      <c r="AI33" s="135"/>
      <c r="AJ33" s="135"/>
      <c r="AK33" s="135"/>
      <c r="AM33" s="496">
        <f t="shared" si="1"/>
        <v>0</v>
      </c>
      <c r="AN33" s="490" t="e">
        <f>IF(assumptions!$B$13='VHFA Use'!$C$84,LOOKUP(1,V33:AB33,$V$5:$AB$5),"N/A")</f>
        <v>#N/A</v>
      </c>
    </row>
    <row r="34" spans="1:40" x14ac:dyDescent="0.2">
      <c r="A34" s="311"/>
      <c r="B34" s="130"/>
      <c r="C34" s="131"/>
      <c r="D34" s="131"/>
      <c r="E34" s="131"/>
      <c r="F34" s="131"/>
      <c r="G34" s="132"/>
      <c r="H34" s="131"/>
      <c r="I34" s="131"/>
      <c r="J34" s="131"/>
      <c r="K34" s="131"/>
      <c r="L34" s="442"/>
      <c r="M34" s="442"/>
      <c r="N34" s="442"/>
      <c r="O34" s="442"/>
      <c r="P34" s="133"/>
      <c r="Q34" s="134"/>
      <c r="R34" s="135"/>
      <c r="S34" s="136">
        <v>0</v>
      </c>
      <c r="T34" s="136">
        <v>0</v>
      </c>
      <c r="U34" s="505">
        <f t="shared" si="3"/>
        <v>0</v>
      </c>
      <c r="V34" s="180"/>
      <c r="W34" s="135"/>
      <c r="X34" s="181"/>
      <c r="Y34" s="135"/>
      <c r="Z34" s="135"/>
      <c r="AA34" s="135"/>
      <c r="AB34" s="135"/>
      <c r="AC34" s="137"/>
      <c r="AD34" s="135"/>
      <c r="AE34" s="135"/>
      <c r="AF34" s="135"/>
      <c r="AG34" s="135"/>
      <c r="AH34" s="135"/>
      <c r="AI34" s="135"/>
      <c r="AJ34" s="135"/>
      <c r="AK34" s="135"/>
      <c r="AM34" s="496">
        <f t="shared" si="1"/>
        <v>0</v>
      </c>
      <c r="AN34" s="490" t="e">
        <f>IF(assumptions!$B$13='VHFA Use'!$C$84,LOOKUP(1,V34:AB34,$V$5:$AB$5),"N/A")</f>
        <v>#N/A</v>
      </c>
    </row>
    <row r="35" spans="1:40" x14ac:dyDescent="0.2">
      <c r="A35" s="311"/>
      <c r="B35" s="130"/>
      <c r="C35" s="131"/>
      <c r="D35" s="131"/>
      <c r="E35" s="131"/>
      <c r="F35" s="131"/>
      <c r="G35" s="132"/>
      <c r="H35" s="131"/>
      <c r="I35" s="131"/>
      <c r="J35" s="131"/>
      <c r="K35" s="131"/>
      <c r="L35" s="442"/>
      <c r="M35" s="442"/>
      <c r="N35" s="442"/>
      <c r="O35" s="442"/>
      <c r="P35" s="133"/>
      <c r="Q35" s="134"/>
      <c r="R35" s="135"/>
      <c r="S35" s="136">
        <v>0</v>
      </c>
      <c r="T35" s="136">
        <v>0</v>
      </c>
      <c r="U35" s="505">
        <f t="shared" si="2"/>
        <v>0</v>
      </c>
      <c r="V35" s="180"/>
      <c r="W35" s="135"/>
      <c r="X35" s="181"/>
      <c r="Y35" s="135"/>
      <c r="Z35" s="135"/>
      <c r="AA35" s="135"/>
      <c r="AB35" s="135"/>
      <c r="AC35" s="137"/>
      <c r="AD35" s="135"/>
      <c r="AE35" s="135"/>
      <c r="AF35" s="135"/>
      <c r="AG35" s="135"/>
      <c r="AH35" s="135"/>
      <c r="AI35" s="135"/>
      <c r="AJ35" s="135"/>
      <c r="AK35" s="135"/>
      <c r="AM35" s="496">
        <f t="shared" si="1"/>
        <v>0</v>
      </c>
      <c r="AN35" s="490" t="e">
        <f>IF(assumptions!$B$13='VHFA Use'!$C$84,LOOKUP(1,V35:AB35,$V$5:$AB$5),"N/A")</f>
        <v>#N/A</v>
      </c>
    </row>
    <row r="36" spans="1:40" x14ac:dyDescent="0.2">
      <c r="A36" s="311"/>
      <c r="B36" s="130"/>
      <c r="C36" s="131"/>
      <c r="D36" s="131"/>
      <c r="E36" s="131"/>
      <c r="F36" s="131"/>
      <c r="G36" s="132"/>
      <c r="H36" s="131"/>
      <c r="I36" s="131"/>
      <c r="J36" s="131"/>
      <c r="K36" s="131"/>
      <c r="L36" s="442"/>
      <c r="M36" s="442"/>
      <c r="N36" s="442"/>
      <c r="O36" s="442"/>
      <c r="P36" s="133"/>
      <c r="Q36" s="134"/>
      <c r="R36" s="135"/>
      <c r="S36" s="136">
        <v>0</v>
      </c>
      <c r="T36" s="136">
        <v>0</v>
      </c>
      <c r="U36" s="505">
        <f t="shared" si="2"/>
        <v>0</v>
      </c>
      <c r="V36" s="180"/>
      <c r="W36" s="135"/>
      <c r="X36" s="181"/>
      <c r="Y36" s="135"/>
      <c r="Z36" s="135"/>
      <c r="AA36" s="135"/>
      <c r="AB36" s="135"/>
      <c r="AC36" s="137"/>
      <c r="AD36" s="135"/>
      <c r="AE36" s="135"/>
      <c r="AF36" s="135"/>
      <c r="AG36" s="135"/>
      <c r="AH36" s="135"/>
      <c r="AI36" s="135"/>
      <c r="AJ36" s="135"/>
      <c r="AK36" s="135"/>
      <c r="AM36" s="496">
        <f t="shared" si="1"/>
        <v>0</v>
      </c>
      <c r="AN36" s="490" t="e">
        <f>IF(assumptions!$B$13='VHFA Use'!$C$84,LOOKUP(1,V36:AB36,$V$5:$AB$5),"N/A")</f>
        <v>#N/A</v>
      </c>
    </row>
    <row r="37" spans="1:40" x14ac:dyDescent="0.2">
      <c r="A37" s="311"/>
      <c r="B37" s="130"/>
      <c r="C37" s="131"/>
      <c r="D37" s="131"/>
      <c r="E37" s="131"/>
      <c r="F37" s="131"/>
      <c r="G37" s="132"/>
      <c r="H37" s="131"/>
      <c r="I37" s="131"/>
      <c r="J37" s="131"/>
      <c r="K37" s="131"/>
      <c r="L37" s="442"/>
      <c r="M37" s="442"/>
      <c r="N37" s="442"/>
      <c r="O37" s="442"/>
      <c r="P37" s="133"/>
      <c r="Q37" s="134"/>
      <c r="R37" s="135"/>
      <c r="S37" s="136">
        <v>0</v>
      </c>
      <c r="T37" s="136">
        <v>0</v>
      </c>
      <c r="U37" s="505">
        <f t="shared" si="2"/>
        <v>0</v>
      </c>
      <c r="V37" s="180"/>
      <c r="W37" s="135"/>
      <c r="X37" s="181"/>
      <c r="Y37" s="135"/>
      <c r="Z37" s="135"/>
      <c r="AA37" s="135"/>
      <c r="AB37" s="135"/>
      <c r="AC37" s="137"/>
      <c r="AD37" s="135"/>
      <c r="AE37" s="135"/>
      <c r="AF37" s="135"/>
      <c r="AG37" s="135"/>
      <c r="AH37" s="135"/>
      <c r="AI37" s="135"/>
      <c r="AJ37" s="135"/>
      <c r="AK37" s="135"/>
      <c r="AM37" s="496">
        <f t="shared" si="1"/>
        <v>0</v>
      </c>
      <c r="AN37" s="490" t="e">
        <f>IF(assumptions!$B$13='VHFA Use'!$C$84,LOOKUP(1,V37:AB37,$V$5:$AB$5),"N/A")</f>
        <v>#N/A</v>
      </c>
    </row>
    <row r="38" spans="1:40" x14ac:dyDescent="0.2">
      <c r="A38" s="311"/>
      <c r="B38" s="130"/>
      <c r="C38" s="131"/>
      <c r="D38" s="131"/>
      <c r="E38" s="131"/>
      <c r="F38" s="131"/>
      <c r="G38" s="132"/>
      <c r="H38" s="131"/>
      <c r="I38" s="131"/>
      <c r="J38" s="131"/>
      <c r="K38" s="131"/>
      <c r="L38" s="442"/>
      <c r="M38" s="442"/>
      <c r="N38" s="442"/>
      <c r="O38" s="442"/>
      <c r="P38" s="133"/>
      <c r="Q38" s="134"/>
      <c r="R38" s="135"/>
      <c r="S38" s="136">
        <v>0</v>
      </c>
      <c r="T38" s="136">
        <v>0</v>
      </c>
      <c r="U38" s="505">
        <f t="shared" si="2"/>
        <v>0</v>
      </c>
      <c r="V38" s="180"/>
      <c r="W38" s="135"/>
      <c r="X38" s="181"/>
      <c r="Y38" s="135"/>
      <c r="Z38" s="135"/>
      <c r="AA38" s="135"/>
      <c r="AB38" s="135"/>
      <c r="AC38" s="137"/>
      <c r="AD38" s="135"/>
      <c r="AE38" s="135"/>
      <c r="AF38" s="135"/>
      <c r="AG38" s="135"/>
      <c r="AH38" s="135"/>
      <c r="AI38" s="135"/>
      <c r="AJ38" s="135"/>
      <c r="AK38" s="135"/>
      <c r="AM38" s="496">
        <f t="shared" ref="AM38:AM69" si="4">G38*R38</f>
        <v>0</v>
      </c>
      <c r="AN38" s="490" t="e">
        <f>IF(assumptions!$B$13='VHFA Use'!$C$84,LOOKUP(1,V38:AB38,$V$5:$AB$5),"N/A")</f>
        <v>#N/A</v>
      </c>
    </row>
    <row r="39" spans="1:40" x14ac:dyDescent="0.2">
      <c r="A39" s="311"/>
      <c r="B39" s="130"/>
      <c r="C39" s="131"/>
      <c r="D39" s="131"/>
      <c r="E39" s="131"/>
      <c r="F39" s="131"/>
      <c r="G39" s="132"/>
      <c r="H39" s="131"/>
      <c r="I39" s="131"/>
      <c r="J39" s="131"/>
      <c r="K39" s="131"/>
      <c r="L39" s="442"/>
      <c r="M39" s="442"/>
      <c r="N39" s="442"/>
      <c r="O39" s="442"/>
      <c r="P39" s="133"/>
      <c r="Q39" s="134"/>
      <c r="R39" s="135"/>
      <c r="S39" s="136">
        <v>0</v>
      </c>
      <c r="T39" s="136">
        <v>0</v>
      </c>
      <c r="U39" s="505">
        <f t="shared" si="2"/>
        <v>0</v>
      </c>
      <c r="V39" s="180"/>
      <c r="W39" s="135"/>
      <c r="X39" s="181"/>
      <c r="Y39" s="135"/>
      <c r="Z39" s="135"/>
      <c r="AA39" s="135"/>
      <c r="AB39" s="135"/>
      <c r="AC39" s="137"/>
      <c r="AD39" s="135"/>
      <c r="AE39" s="135"/>
      <c r="AF39" s="135"/>
      <c r="AG39" s="135"/>
      <c r="AH39" s="135"/>
      <c r="AI39" s="135"/>
      <c r="AJ39" s="135"/>
      <c r="AK39" s="135"/>
      <c r="AM39" s="496">
        <f t="shared" si="4"/>
        <v>0</v>
      </c>
      <c r="AN39" s="490" t="e">
        <f>IF(assumptions!$B$13='VHFA Use'!$C$84,LOOKUP(1,V39:AB39,$V$5:$AB$5),"N/A")</f>
        <v>#N/A</v>
      </c>
    </row>
    <row r="40" spans="1:40" x14ac:dyDescent="0.2">
      <c r="A40" s="311"/>
      <c r="B40" s="130"/>
      <c r="C40" s="131"/>
      <c r="D40" s="131"/>
      <c r="E40" s="131"/>
      <c r="F40" s="131"/>
      <c r="G40" s="132"/>
      <c r="H40" s="131"/>
      <c r="I40" s="131"/>
      <c r="J40" s="131"/>
      <c r="K40" s="131"/>
      <c r="L40" s="442"/>
      <c r="M40" s="442"/>
      <c r="N40" s="442"/>
      <c r="O40" s="442"/>
      <c r="P40" s="133"/>
      <c r="Q40" s="134"/>
      <c r="R40" s="135"/>
      <c r="S40" s="136">
        <v>0</v>
      </c>
      <c r="T40" s="136">
        <v>0</v>
      </c>
      <c r="U40" s="505">
        <f>S40+T40</f>
        <v>0</v>
      </c>
      <c r="V40" s="180"/>
      <c r="W40" s="135"/>
      <c r="X40" s="181"/>
      <c r="Y40" s="135"/>
      <c r="Z40" s="135"/>
      <c r="AA40" s="135"/>
      <c r="AB40" s="135"/>
      <c r="AC40" s="137"/>
      <c r="AD40" s="135"/>
      <c r="AE40" s="135"/>
      <c r="AF40" s="135"/>
      <c r="AG40" s="135"/>
      <c r="AH40" s="135"/>
      <c r="AI40" s="135"/>
      <c r="AJ40" s="135"/>
      <c r="AK40" s="135"/>
      <c r="AM40" s="496">
        <f t="shared" si="4"/>
        <v>0</v>
      </c>
      <c r="AN40" s="490" t="e">
        <f>IF(assumptions!$B$13='VHFA Use'!$C$84,LOOKUP(1,V40:AB40,$V$5:$AB$5),"N/A")</f>
        <v>#N/A</v>
      </c>
    </row>
    <row r="41" spans="1:40" x14ac:dyDescent="0.2">
      <c r="A41" s="311"/>
      <c r="B41" s="130"/>
      <c r="C41" s="131"/>
      <c r="D41" s="131"/>
      <c r="E41" s="131"/>
      <c r="F41" s="131"/>
      <c r="G41" s="132"/>
      <c r="H41" s="131"/>
      <c r="I41" s="131"/>
      <c r="J41" s="131"/>
      <c r="K41" s="131"/>
      <c r="L41" s="442"/>
      <c r="M41" s="442"/>
      <c r="N41" s="442"/>
      <c r="O41" s="442"/>
      <c r="P41" s="133"/>
      <c r="Q41" s="134"/>
      <c r="R41" s="135"/>
      <c r="S41" s="136">
        <v>0</v>
      </c>
      <c r="T41" s="136">
        <v>0</v>
      </c>
      <c r="U41" s="505">
        <f t="shared" si="2"/>
        <v>0</v>
      </c>
      <c r="V41" s="180"/>
      <c r="W41" s="135"/>
      <c r="X41" s="181"/>
      <c r="Y41" s="135"/>
      <c r="Z41" s="135"/>
      <c r="AA41" s="135"/>
      <c r="AB41" s="135"/>
      <c r="AC41" s="137"/>
      <c r="AD41" s="135"/>
      <c r="AE41" s="135"/>
      <c r="AF41" s="135"/>
      <c r="AG41" s="135"/>
      <c r="AH41" s="135"/>
      <c r="AI41" s="135"/>
      <c r="AJ41" s="135"/>
      <c r="AK41" s="135"/>
      <c r="AM41" s="496">
        <f t="shared" si="4"/>
        <v>0</v>
      </c>
      <c r="AN41" s="490" t="e">
        <f>IF(assumptions!$B$13='VHFA Use'!$C$84,LOOKUP(1,V41:AB41,$V$5:$AB$5),"N/A")</f>
        <v>#N/A</v>
      </c>
    </row>
    <row r="42" spans="1:40" x14ac:dyDescent="0.2">
      <c r="A42" s="311"/>
      <c r="B42" s="130"/>
      <c r="C42" s="131"/>
      <c r="D42" s="131"/>
      <c r="E42" s="131"/>
      <c r="F42" s="131"/>
      <c r="G42" s="132"/>
      <c r="H42" s="131"/>
      <c r="I42" s="131"/>
      <c r="J42" s="131"/>
      <c r="K42" s="131"/>
      <c r="L42" s="442"/>
      <c r="M42" s="442"/>
      <c r="N42" s="442"/>
      <c r="O42" s="442"/>
      <c r="P42" s="133"/>
      <c r="Q42" s="134"/>
      <c r="R42" s="135"/>
      <c r="S42" s="136">
        <v>0</v>
      </c>
      <c r="T42" s="136">
        <v>0</v>
      </c>
      <c r="U42" s="505">
        <f t="shared" si="2"/>
        <v>0</v>
      </c>
      <c r="V42" s="180"/>
      <c r="W42" s="135"/>
      <c r="X42" s="181"/>
      <c r="Y42" s="135"/>
      <c r="Z42" s="135"/>
      <c r="AA42" s="135"/>
      <c r="AB42" s="135"/>
      <c r="AC42" s="137"/>
      <c r="AD42" s="135"/>
      <c r="AE42" s="135"/>
      <c r="AF42" s="135"/>
      <c r="AG42" s="135"/>
      <c r="AH42" s="135"/>
      <c r="AI42" s="135"/>
      <c r="AJ42" s="135"/>
      <c r="AK42" s="135"/>
      <c r="AM42" s="496">
        <f t="shared" si="4"/>
        <v>0</v>
      </c>
      <c r="AN42" s="490" t="e">
        <f>IF(assumptions!$B$13='VHFA Use'!$C$84,LOOKUP(1,V42:AB42,$V$5:$AB$5),"N/A")</f>
        <v>#N/A</v>
      </c>
    </row>
    <row r="43" spans="1:40" x14ac:dyDescent="0.2">
      <c r="A43" s="311"/>
      <c r="B43" s="130"/>
      <c r="C43" s="131"/>
      <c r="D43" s="131"/>
      <c r="E43" s="131"/>
      <c r="F43" s="131"/>
      <c r="G43" s="132"/>
      <c r="H43" s="131"/>
      <c r="I43" s="131"/>
      <c r="J43" s="131"/>
      <c r="K43" s="131"/>
      <c r="L43" s="442"/>
      <c r="M43" s="442"/>
      <c r="N43" s="442"/>
      <c r="O43" s="442"/>
      <c r="P43" s="133"/>
      <c r="Q43" s="134"/>
      <c r="R43" s="135"/>
      <c r="S43" s="136">
        <v>0</v>
      </c>
      <c r="T43" s="136">
        <v>0</v>
      </c>
      <c r="U43" s="505">
        <f t="shared" si="2"/>
        <v>0</v>
      </c>
      <c r="V43" s="180"/>
      <c r="W43" s="135"/>
      <c r="X43" s="181"/>
      <c r="Y43" s="135"/>
      <c r="Z43" s="135"/>
      <c r="AA43" s="135"/>
      <c r="AB43" s="135"/>
      <c r="AC43" s="137"/>
      <c r="AD43" s="135"/>
      <c r="AE43" s="135"/>
      <c r="AF43" s="135"/>
      <c r="AG43" s="135"/>
      <c r="AH43" s="135"/>
      <c r="AI43" s="135"/>
      <c r="AJ43" s="135"/>
      <c r="AK43" s="135"/>
      <c r="AM43" s="496">
        <f t="shared" si="4"/>
        <v>0</v>
      </c>
      <c r="AN43" s="490" t="e">
        <f>IF(assumptions!$B$13='VHFA Use'!$C$84,LOOKUP(1,V43:AB43,$V$5:$AB$5),"N/A")</f>
        <v>#N/A</v>
      </c>
    </row>
    <row r="44" spans="1:40" x14ac:dyDescent="0.2">
      <c r="A44" s="311"/>
      <c r="B44" s="130"/>
      <c r="C44" s="131"/>
      <c r="D44" s="131"/>
      <c r="E44" s="131"/>
      <c r="F44" s="131"/>
      <c r="G44" s="132"/>
      <c r="H44" s="131"/>
      <c r="I44" s="131"/>
      <c r="J44" s="131"/>
      <c r="K44" s="131"/>
      <c r="L44" s="442"/>
      <c r="M44" s="442"/>
      <c r="N44" s="442"/>
      <c r="O44" s="442"/>
      <c r="P44" s="133"/>
      <c r="Q44" s="134"/>
      <c r="R44" s="135"/>
      <c r="S44" s="136">
        <v>0</v>
      </c>
      <c r="T44" s="136">
        <v>0</v>
      </c>
      <c r="U44" s="505">
        <f t="shared" si="2"/>
        <v>0</v>
      </c>
      <c r="V44" s="180"/>
      <c r="W44" s="135"/>
      <c r="X44" s="181"/>
      <c r="Y44" s="135"/>
      <c r="Z44" s="135"/>
      <c r="AA44" s="135"/>
      <c r="AB44" s="135"/>
      <c r="AC44" s="137"/>
      <c r="AD44" s="135"/>
      <c r="AE44" s="135"/>
      <c r="AF44" s="135"/>
      <c r="AG44" s="135"/>
      <c r="AH44" s="135"/>
      <c r="AI44" s="135"/>
      <c r="AJ44" s="135"/>
      <c r="AK44" s="135"/>
      <c r="AM44" s="496">
        <f t="shared" si="4"/>
        <v>0</v>
      </c>
      <c r="AN44" s="490" t="e">
        <f>IF(assumptions!$B$13='VHFA Use'!$C$84,LOOKUP(1,V44:AB44,$V$5:$AB$5),"N/A")</f>
        <v>#N/A</v>
      </c>
    </row>
    <row r="45" spans="1:40" x14ac:dyDescent="0.2">
      <c r="A45" s="311"/>
      <c r="B45" s="130"/>
      <c r="C45" s="131"/>
      <c r="D45" s="131"/>
      <c r="E45" s="131"/>
      <c r="F45" s="131"/>
      <c r="G45" s="132"/>
      <c r="H45" s="131"/>
      <c r="I45" s="131"/>
      <c r="J45" s="131"/>
      <c r="K45" s="131"/>
      <c r="L45" s="442"/>
      <c r="M45" s="442"/>
      <c r="N45" s="442"/>
      <c r="O45" s="442"/>
      <c r="P45" s="133"/>
      <c r="Q45" s="134"/>
      <c r="R45" s="135"/>
      <c r="S45" s="136">
        <v>0</v>
      </c>
      <c r="T45" s="136">
        <v>0</v>
      </c>
      <c r="U45" s="505">
        <f t="shared" si="2"/>
        <v>0</v>
      </c>
      <c r="V45" s="180"/>
      <c r="W45" s="135"/>
      <c r="X45" s="181"/>
      <c r="Y45" s="135"/>
      <c r="Z45" s="135"/>
      <c r="AA45" s="135"/>
      <c r="AB45" s="135"/>
      <c r="AC45" s="137"/>
      <c r="AD45" s="135"/>
      <c r="AE45" s="135"/>
      <c r="AF45" s="135"/>
      <c r="AG45" s="135"/>
      <c r="AH45" s="135"/>
      <c r="AI45" s="135"/>
      <c r="AJ45" s="135"/>
      <c r="AK45" s="135"/>
      <c r="AM45" s="496">
        <f t="shared" si="4"/>
        <v>0</v>
      </c>
      <c r="AN45" s="490" t="e">
        <f>IF(assumptions!$B$13='VHFA Use'!$C$84,LOOKUP(1,V45:AB45,$V$5:$AB$5),"N/A")</f>
        <v>#N/A</v>
      </c>
    </row>
    <row r="46" spans="1:40" x14ac:dyDescent="0.2">
      <c r="A46" s="311"/>
      <c r="B46" s="130"/>
      <c r="C46" s="131"/>
      <c r="D46" s="131"/>
      <c r="E46" s="131"/>
      <c r="F46" s="131"/>
      <c r="G46" s="132"/>
      <c r="H46" s="131"/>
      <c r="I46" s="131"/>
      <c r="J46" s="131"/>
      <c r="K46" s="131"/>
      <c r="L46" s="442"/>
      <c r="M46" s="442"/>
      <c r="N46" s="442"/>
      <c r="O46" s="442"/>
      <c r="P46" s="133"/>
      <c r="Q46" s="134"/>
      <c r="R46" s="135"/>
      <c r="S46" s="136">
        <v>0</v>
      </c>
      <c r="T46" s="136">
        <v>0</v>
      </c>
      <c r="U46" s="505">
        <f t="shared" si="2"/>
        <v>0</v>
      </c>
      <c r="V46" s="180"/>
      <c r="W46" s="135"/>
      <c r="X46" s="181"/>
      <c r="Y46" s="135"/>
      <c r="Z46" s="135"/>
      <c r="AA46" s="135"/>
      <c r="AB46" s="135"/>
      <c r="AC46" s="137"/>
      <c r="AD46" s="135"/>
      <c r="AE46" s="135"/>
      <c r="AF46" s="135"/>
      <c r="AG46" s="135"/>
      <c r="AH46" s="135"/>
      <c r="AI46" s="135"/>
      <c r="AJ46" s="135"/>
      <c r="AK46" s="135"/>
      <c r="AM46" s="496">
        <f t="shared" si="4"/>
        <v>0</v>
      </c>
      <c r="AN46" s="490" t="e">
        <f>IF(assumptions!$B$13='VHFA Use'!$C$84,LOOKUP(1,V46:AB46,$V$5:$AB$5),"N/A")</f>
        <v>#N/A</v>
      </c>
    </row>
    <row r="47" spans="1:40" x14ac:dyDescent="0.2">
      <c r="A47" s="311"/>
      <c r="B47" s="130"/>
      <c r="C47" s="131"/>
      <c r="D47" s="131"/>
      <c r="E47" s="131"/>
      <c r="F47" s="131"/>
      <c r="G47" s="132"/>
      <c r="H47" s="131"/>
      <c r="I47" s="131"/>
      <c r="J47" s="131"/>
      <c r="K47" s="131"/>
      <c r="L47" s="442"/>
      <c r="M47" s="442"/>
      <c r="N47" s="442"/>
      <c r="O47" s="442"/>
      <c r="P47" s="133"/>
      <c r="Q47" s="134"/>
      <c r="R47" s="135"/>
      <c r="S47" s="136">
        <v>0</v>
      </c>
      <c r="T47" s="136">
        <v>0</v>
      </c>
      <c r="U47" s="505">
        <f t="shared" si="2"/>
        <v>0</v>
      </c>
      <c r="V47" s="180"/>
      <c r="W47" s="135"/>
      <c r="X47" s="181"/>
      <c r="Y47" s="135"/>
      <c r="Z47" s="135"/>
      <c r="AA47" s="135"/>
      <c r="AB47" s="135"/>
      <c r="AC47" s="137"/>
      <c r="AD47" s="135"/>
      <c r="AE47" s="135"/>
      <c r="AF47" s="135"/>
      <c r="AG47" s="135"/>
      <c r="AH47" s="135"/>
      <c r="AI47" s="135"/>
      <c r="AJ47" s="135"/>
      <c r="AK47" s="135"/>
      <c r="AM47" s="496">
        <f t="shared" si="4"/>
        <v>0</v>
      </c>
      <c r="AN47" s="490" t="e">
        <f>IF(assumptions!$B$13='VHFA Use'!$C$84,LOOKUP(1,V47:AB47,$V$5:$AB$5),"N/A")</f>
        <v>#N/A</v>
      </c>
    </row>
    <row r="48" spans="1:40" x14ac:dyDescent="0.2">
      <c r="A48" s="311"/>
      <c r="B48" s="130"/>
      <c r="C48" s="131"/>
      <c r="D48" s="131"/>
      <c r="E48" s="131"/>
      <c r="F48" s="131"/>
      <c r="G48" s="132"/>
      <c r="H48" s="131"/>
      <c r="I48" s="131"/>
      <c r="J48" s="131"/>
      <c r="K48" s="131"/>
      <c r="L48" s="442"/>
      <c r="M48" s="442"/>
      <c r="N48" s="442"/>
      <c r="O48" s="442"/>
      <c r="P48" s="133"/>
      <c r="Q48" s="134"/>
      <c r="R48" s="135"/>
      <c r="S48" s="136">
        <v>0</v>
      </c>
      <c r="T48" s="136">
        <v>0</v>
      </c>
      <c r="U48" s="505">
        <f t="shared" si="0"/>
        <v>0</v>
      </c>
      <c r="V48" s="180"/>
      <c r="W48" s="135"/>
      <c r="X48" s="181"/>
      <c r="Y48" s="135"/>
      <c r="Z48" s="135"/>
      <c r="AA48" s="135"/>
      <c r="AB48" s="135"/>
      <c r="AC48" s="137"/>
      <c r="AD48" s="135"/>
      <c r="AE48" s="135"/>
      <c r="AF48" s="135"/>
      <c r="AG48" s="135"/>
      <c r="AH48" s="135"/>
      <c r="AI48" s="135"/>
      <c r="AJ48" s="135"/>
      <c r="AK48" s="135"/>
      <c r="AM48" s="496">
        <f t="shared" si="4"/>
        <v>0</v>
      </c>
      <c r="AN48" s="490" t="e">
        <f>IF(assumptions!$B$13='VHFA Use'!$C$84,LOOKUP(1,V48:AB48,$V$5:$AB$5),"N/A")</f>
        <v>#N/A</v>
      </c>
    </row>
    <row r="49" spans="1:40" x14ac:dyDescent="0.2">
      <c r="A49" s="311"/>
      <c r="B49" s="130"/>
      <c r="C49" s="131"/>
      <c r="D49" s="131"/>
      <c r="E49" s="131"/>
      <c r="F49" s="131"/>
      <c r="G49" s="132"/>
      <c r="H49" s="131"/>
      <c r="I49" s="131"/>
      <c r="J49" s="131"/>
      <c r="K49" s="131"/>
      <c r="L49" s="442"/>
      <c r="M49" s="442"/>
      <c r="N49" s="442"/>
      <c r="O49" s="442"/>
      <c r="P49" s="133"/>
      <c r="Q49" s="134"/>
      <c r="R49" s="135"/>
      <c r="S49" s="136">
        <v>0</v>
      </c>
      <c r="T49" s="136">
        <v>0</v>
      </c>
      <c r="U49" s="505">
        <f t="shared" si="0"/>
        <v>0</v>
      </c>
      <c r="V49" s="180"/>
      <c r="W49" s="135"/>
      <c r="X49" s="181"/>
      <c r="Y49" s="135"/>
      <c r="Z49" s="135"/>
      <c r="AA49" s="135"/>
      <c r="AB49" s="135"/>
      <c r="AC49" s="137"/>
      <c r="AD49" s="135"/>
      <c r="AE49" s="135"/>
      <c r="AF49" s="135"/>
      <c r="AG49" s="135"/>
      <c r="AH49" s="135"/>
      <c r="AI49" s="135"/>
      <c r="AJ49" s="135"/>
      <c r="AK49" s="135"/>
      <c r="AM49" s="496">
        <f t="shared" si="4"/>
        <v>0</v>
      </c>
      <c r="AN49" s="490" t="e">
        <f>IF(assumptions!$B$13='VHFA Use'!$C$84,LOOKUP(1,V49:AB49,$V$5:$AB$5),"N/A")</f>
        <v>#N/A</v>
      </c>
    </row>
    <row r="50" spans="1:40" outlineLevel="1" x14ac:dyDescent="0.2">
      <c r="A50" s="311"/>
      <c r="B50" s="130"/>
      <c r="C50" s="131"/>
      <c r="D50" s="131"/>
      <c r="E50" s="131"/>
      <c r="F50" s="131"/>
      <c r="G50" s="132"/>
      <c r="H50" s="131"/>
      <c r="I50" s="131"/>
      <c r="J50" s="131"/>
      <c r="K50" s="131"/>
      <c r="L50" s="442"/>
      <c r="M50" s="442"/>
      <c r="N50" s="442"/>
      <c r="O50" s="442"/>
      <c r="P50" s="133"/>
      <c r="Q50" s="134"/>
      <c r="R50" s="135"/>
      <c r="S50" s="136">
        <v>0</v>
      </c>
      <c r="T50" s="136">
        <v>0</v>
      </c>
      <c r="U50" s="505">
        <f t="shared" si="0"/>
        <v>0</v>
      </c>
      <c r="V50" s="180"/>
      <c r="W50" s="135"/>
      <c r="X50" s="181"/>
      <c r="Y50" s="135"/>
      <c r="Z50" s="135"/>
      <c r="AA50" s="135"/>
      <c r="AB50" s="135"/>
      <c r="AC50" s="137"/>
      <c r="AD50" s="135"/>
      <c r="AE50" s="135"/>
      <c r="AF50" s="135"/>
      <c r="AG50" s="135"/>
      <c r="AH50" s="135"/>
      <c r="AI50" s="135"/>
      <c r="AJ50" s="135"/>
      <c r="AK50" s="135"/>
      <c r="AM50" s="496">
        <f t="shared" si="4"/>
        <v>0</v>
      </c>
      <c r="AN50" s="490" t="e">
        <f>IF(assumptions!$B$13='VHFA Use'!$C$84,LOOKUP(1,V50:AB50,$V$5:$AB$5),"N/A")</f>
        <v>#N/A</v>
      </c>
    </row>
    <row r="51" spans="1:40" outlineLevel="1" x14ac:dyDescent="0.2">
      <c r="A51" s="311"/>
      <c r="B51" s="130"/>
      <c r="C51" s="131"/>
      <c r="D51" s="131"/>
      <c r="E51" s="131"/>
      <c r="F51" s="131"/>
      <c r="G51" s="132"/>
      <c r="H51" s="131"/>
      <c r="I51" s="131"/>
      <c r="J51" s="131"/>
      <c r="K51" s="131"/>
      <c r="L51" s="442"/>
      <c r="M51" s="442"/>
      <c r="N51" s="442"/>
      <c r="O51" s="442"/>
      <c r="P51" s="133"/>
      <c r="Q51" s="134"/>
      <c r="R51" s="135"/>
      <c r="S51" s="136">
        <v>0</v>
      </c>
      <c r="T51" s="136">
        <v>0</v>
      </c>
      <c r="U51" s="505">
        <f t="shared" si="0"/>
        <v>0</v>
      </c>
      <c r="V51" s="180"/>
      <c r="W51" s="135"/>
      <c r="X51" s="181"/>
      <c r="Y51" s="135"/>
      <c r="Z51" s="135"/>
      <c r="AA51" s="135"/>
      <c r="AB51" s="135"/>
      <c r="AC51" s="137"/>
      <c r="AD51" s="135"/>
      <c r="AE51" s="135"/>
      <c r="AF51" s="135"/>
      <c r="AG51" s="135"/>
      <c r="AH51" s="135"/>
      <c r="AI51" s="135"/>
      <c r="AJ51" s="135"/>
      <c r="AK51" s="135"/>
      <c r="AM51" s="496">
        <f t="shared" si="4"/>
        <v>0</v>
      </c>
      <c r="AN51" s="490" t="e">
        <f>IF(assumptions!$B$13='VHFA Use'!$C$84,LOOKUP(1,V51:AB51,$V$5:$AB$5),"N/A")</f>
        <v>#N/A</v>
      </c>
    </row>
    <row r="52" spans="1:40" outlineLevel="1" x14ac:dyDescent="0.2">
      <c r="A52" s="311"/>
      <c r="B52" s="130"/>
      <c r="C52" s="131"/>
      <c r="D52" s="131"/>
      <c r="E52" s="131"/>
      <c r="F52" s="131"/>
      <c r="G52" s="132"/>
      <c r="H52" s="131"/>
      <c r="I52" s="131"/>
      <c r="J52" s="131"/>
      <c r="K52" s="131"/>
      <c r="L52" s="442"/>
      <c r="M52" s="442"/>
      <c r="N52" s="442"/>
      <c r="O52" s="442"/>
      <c r="P52" s="133"/>
      <c r="Q52" s="134"/>
      <c r="R52" s="135"/>
      <c r="S52" s="136">
        <v>0</v>
      </c>
      <c r="T52" s="136">
        <v>0</v>
      </c>
      <c r="U52" s="505">
        <f t="shared" si="0"/>
        <v>0</v>
      </c>
      <c r="V52" s="180"/>
      <c r="W52" s="135"/>
      <c r="X52" s="181"/>
      <c r="Y52" s="135"/>
      <c r="Z52" s="135"/>
      <c r="AA52" s="135"/>
      <c r="AB52" s="135"/>
      <c r="AC52" s="137"/>
      <c r="AD52" s="135"/>
      <c r="AE52" s="135"/>
      <c r="AF52" s="135"/>
      <c r="AG52" s="135"/>
      <c r="AH52" s="135"/>
      <c r="AI52" s="135"/>
      <c r="AJ52" s="135"/>
      <c r="AK52" s="135"/>
      <c r="AM52" s="496">
        <f t="shared" si="4"/>
        <v>0</v>
      </c>
      <c r="AN52" s="490" t="e">
        <f>IF(assumptions!$B$13='VHFA Use'!$C$84,LOOKUP(1,V52:AB52,$V$5:$AB$5),"N/A")</f>
        <v>#N/A</v>
      </c>
    </row>
    <row r="53" spans="1:40" outlineLevel="1" x14ac:dyDescent="0.2">
      <c r="A53" s="311"/>
      <c r="B53" s="130"/>
      <c r="C53" s="131"/>
      <c r="D53" s="131"/>
      <c r="E53" s="131"/>
      <c r="F53" s="131"/>
      <c r="G53" s="132"/>
      <c r="H53" s="131"/>
      <c r="I53" s="131"/>
      <c r="J53" s="131"/>
      <c r="K53" s="131"/>
      <c r="L53" s="442"/>
      <c r="M53" s="442"/>
      <c r="N53" s="442"/>
      <c r="O53" s="442"/>
      <c r="P53" s="133"/>
      <c r="Q53" s="134"/>
      <c r="R53" s="135"/>
      <c r="S53" s="136">
        <v>0</v>
      </c>
      <c r="T53" s="136">
        <v>0</v>
      </c>
      <c r="U53" s="505">
        <f t="shared" si="0"/>
        <v>0</v>
      </c>
      <c r="V53" s="180"/>
      <c r="W53" s="135"/>
      <c r="X53" s="181"/>
      <c r="Y53" s="135"/>
      <c r="Z53" s="135"/>
      <c r="AA53" s="135"/>
      <c r="AB53" s="135"/>
      <c r="AC53" s="137"/>
      <c r="AD53" s="135"/>
      <c r="AE53" s="135"/>
      <c r="AF53" s="135"/>
      <c r="AG53" s="135"/>
      <c r="AH53" s="135"/>
      <c r="AI53" s="135"/>
      <c r="AJ53" s="135"/>
      <c r="AK53" s="135"/>
      <c r="AM53" s="496">
        <f t="shared" si="4"/>
        <v>0</v>
      </c>
      <c r="AN53" s="490" t="e">
        <f>IF(assumptions!$B$13='VHFA Use'!$C$84,LOOKUP(1,V53:AB53,$V$5:$AB$5),"N/A")</f>
        <v>#N/A</v>
      </c>
    </row>
    <row r="54" spans="1:40" outlineLevel="1" x14ac:dyDescent="0.2">
      <c r="A54" s="311"/>
      <c r="B54" s="130"/>
      <c r="C54" s="131"/>
      <c r="D54" s="131"/>
      <c r="E54" s="131"/>
      <c r="F54" s="131"/>
      <c r="G54" s="132"/>
      <c r="H54" s="131"/>
      <c r="I54" s="131"/>
      <c r="J54" s="131"/>
      <c r="K54" s="131"/>
      <c r="L54" s="442"/>
      <c r="M54" s="442"/>
      <c r="N54" s="442"/>
      <c r="O54" s="442"/>
      <c r="P54" s="133"/>
      <c r="Q54" s="134"/>
      <c r="R54" s="135"/>
      <c r="S54" s="136">
        <v>0</v>
      </c>
      <c r="T54" s="136">
        <v>0</v>
      </c>
      <c r="U54" s="505">
        <f t="shared" si="0"/>
        <v>0</v>
      </c>
      <c r="V54" s="180"/>
      <c r="W54" s="135"/>
      <c r="X54" s="181"/>
      <c r="Y54" s="135"/>
      <c r="Z54" s="135"/>
      <c r="AA54" s="135"/>
      <c r="AB54" s="135"/>
      <c r="AC54" s="137"/>
      <c r="AD54" s="135"/>
      <c r="AE54" s="135"/>
      <c r="AF54" s="135"/>
      <c r="AG54" s="135"/>
      <c r="AH54" s="135"/>
      <c r="AI54" s="135"/>
      <c r="AJ54" s="135"/>
      <c r="AK54" s="135"/>
      <c r="AM54" s="496">
        <f t="shared" si="4"/>
        <v>0</v>
      </c>
      <c r="AN54" s="490" t="e">
        <f>IF(assumptions!$B$13='VHFA Use'!$C$84,LOOKUP(1,V54:AB54,$V$5:$AB$5),"N/A")</f>
        <v>#N/A</v>
      </c>
    </row>
    <row r="55" spans="1:40" outlineLevel="1" x14ac:dyDescent="0.2">
      <c r="A55" s="311"/>
      <c r="B55" s="130"/>
      <c r="C55" s="131"/>
      <c r="D55" s="131"/>
      <c r="E55" s="131"/>
      <c r="F55" s="131"/>
      <c r="G55" s="132"/>
      <c r="H55" s="131"/>
      <c r="I55" s="131"/>
      <c r="J55" s="131"/>
      <c r="K55" s="131"/>
      <c r="L55" s="442"/>
      <c r="M55" s="442"/>
      <c r="N55" s="442"/>
      <c r="O55" s="442"/>
      <c r="P55" s="133"/>
      <c r="Q55" s="134"/>
      <c r="R55" s="135"/>
      <c r="S55" s="136">
        <v>0</v>
      </c>
      <c r="T55" s="136">
        <v>0</v>
      </c>
      <c r="U55" s="505">
        <f t="shared" si="0"/>
        <v>0</v>
      </c>
      <c r="V55" s="180"/>
      <c r="W55" s="135"/>
      <c r="X55" s="181"/>
      <c r="Y55" s="135"/>
      <c r="Z55" s="135"/>
      <c r="AA55" s="135"/>
      <c r="AB55" s="135"/>
      <c r="AC55" s="137"/>
      <c r="AD55" s="135"/>
      <c r="AE55" s="135"/>
      <c r="AF55" s="135"/>
      <c r="AG55" s="135"/>
      <c r="AH55" s="135"/>
      <c r="AI55" s="135"/>
      <c r="AJ55" s="135"/>
      <c r="AK55" s="135"/>
      <c r="AM55" s="496">
        <f t="shared" si="4"/>
        <v>0</v>
      </c>
      <c r="AN55" s="490" t="e">
        <f>IF(assumptions!$B$13='VHFA Use'!$C$84,LOOKUP(1,V55:AB55,$V$5:$AB$5),"N/A")</f>
        <v>#N/A</v>
      </c>
    </row>
    <row r="56" spans="1:40" outlineLevel="1" x14ac:dyDescent="0.2">
      <c r="A56" s="311"/>
      <c r="B56" s="130"/>
      <c r="C56" s="131"/>
      <c r="D56" s="131"/>
      <c r="E56" s="131"/>
      <c r="F56" s="131"/>
      <c r="G56" s="132"/>
      <c r="H56" s="131"/>
      <c r="I56" s="131"/>
      <c r="J56" s="131"/>
      <c r="K56" s="131"/>
      <c r="L56" s="442"/>
      <c r="M56" s="442"/>
      <c r="N56" s="442"/>
      <c r="O56" s="442"/>
      <c r="P56" s="133"/>
      <c r="Q56" s="134"/>
      <c r="R56" s="135"/>
      <c r="S56" s="136">
        <v>0</v>
      </c>
      <c r="T56" s="136">
        <v>0</v>
      </c>
      <c r="U56" s="505">
        <f t="shared" si="0"/>
        <v>0</v>
      </c>
      <c r="V56" s="180"/>
      <c r="W56" s="135"/>
      <c r="X56" s="181"/>
      <c r="Y56" s="135"/>
      <c r="Z56" s="135"/>
      <c r="AA56" s="135"/>
      <c r="AB56" s="135"/>
      <c r="AC56" s="137"/>
      <c r="AD56" s="135"/>
      <c r="AE56" s="135"/>
      <c r="AF56" s="135"/>
      <c r="AG56" s="135"/>
      <c r="AH56" s="135"/>
      <c r="AI56" s="135"/>
      <c r="AJ56" s="135"/>
      <c r="AK56" s="135"/>
      <c r="AM56" s="496">
        <f t="shared" si="4"/>
        <v>0</v>
      </c>
      <c r="AN56" s="490" t="e">
        <f>IF(assumptions!$B$13='VHFA Use'!$C$84,LOOKUP(1,V56:AB56,$V$5:$AB$5),"N/A")</f>
        <v>#N/A</v>
      </c>
    </row>
    <row r="57" spans="1:40" outlineLevel="1" x14ac:dyDescent="0.2">
      <c r="A57" s="311"/>
      <c r="B57" s="130"/>
      <c r="C57" s="131"/>
      <c r="D57" s="131"/>
      <c r="E57" s="131"/>
      <c r="F57" s="131"/>
      <c r="G57" s="132"/>
      <c r="H57" s="131"/>
      <c r="I57" s="131"/>
      <c r="J57" s="131"/>
      <c r="K57" s="131"/>
      <c r="L57" s="442"/>
      <c r="M57" s="442"/>
      <c r="N57" s="442"/>
      <c r="O57" s="442"/>
      <c r="P57" s="133"/>
      <c r="Q57" s="134"/>
      <c r="R57" s="135"/>
      <c r="S57" s="136">
        <v>0</v>
      </c>
      <c r="T57" s="136">
        <v>0</v>
      </c>
      <c r="U57" s="505">
        <f t="shared" si="0"/>
        <v>0</v>
      </c>
      <c r="V57" s="180"/>
      <c r="W57" s="135"/>
      <c r="X57" s="181"/>
      <c r="Y57" s="135"/>
      <c r="Z57" s="135"/>
      <c r="AA57" s="135"/>
      <c r="AB57" s="135"/>
      <c r="AC57" s="137"/>
      <c r="AD57" s="135"/>
      <c r="AE57" s="135"/>
      <c r="AF57" s="135"/>
      <c r="AG57" s="135"/>
      <c r="AH57" s="135"/>
      <c r="AI57" s="135"/>
      <c r="AJ57" s="135"/>
      <c r="AK57" s="135"/>
      <c r="AM57" s="496">
        <f t="shared" si="4"/>
        <v>0</v>
      </c>
      <c r="AN57" s="490" t="e">
        <f>IF(assumptions!$B$13='VHFA Use'!$C$84,LOOKUP(1,V57:AB57,$V$5:$AB$5),"N/A")</f>
        <v>#N/A</v>
      </c>
    </row>
    <row r="58" spans="1:40" outlineLevel="1" x14ac:dyDescent="0.2">
      <c r="A58" s="311"/>
      <c r="B58" s="130"/>
      <c r="C58" s="131"/>
      <c r="D58" s="131"/>
      <c r="E58" s="131"/>
      <c r="F58" s="131"/>
      <c r="G58" s="132"/>
      <c r="H58" s="131"/>
      <c r="I58" s="131"/>
      <c r="J58" s="131"/>
      <c r="K58" s="131"/>
      <c r="L58" s="442"/>
      <c r="M58" s="442"/>
      <c r="N58" s="442"/>
      <c r="O58" s="442"/>
      <c r="P58" s="133"/>
      <c r="Q58" s="134"/>
      <c r="R58" s="135"/>
      <c r="S58" s="136">
        <v>0</v>
      </c>
      <c r="T58" s="136">
        <v>0</v>
      </c>
      <c r="U58" s="505">
        <f t="shared" si="0"/>
        <v>0</v>
      </c>
      <c r="V58" s="180"/>
      <c r="W58" s="135"/>
      <c r="X58" s="181"/>
      <c r="Y58" s="135"/>
      <c r="Z58" s="135"/>
      <c r="AA58" s="135"/>
      <c r="AB58" s="135"/>
      <c r="AC58" s="137"/>
      <c r="AD58" s="135"/>
      <c r="AE58" s="135"/>
      <c r="AF58" s="135"/>
      <c r="AG58" s="135"/>
      <c r="AH58" s="135"/>
      <c r="AI58" s="135"/>
      <c r="AJ58" s="135"/>
      <c r="AK58" s="135"/>
      <c r="AM58" s="496">
        <f t="shared" si="4"/>
        <v>0</v>
      </c>
      <c r="AN58" s="490" t="e">
        <f>IF(assumptions!$B$13='VHFA Use'!$C$84,LOOKUP(1,V58:AB58,$V$5:$AB$5),"N/A")</f>
        <v>#N/A</v>
      </c>
    </row>
    <row r="59" spans="1:40" outlineLevel="1" x14ac:dyDescent="0.2">
      <c r="A59" s="311"/>
      <c r="B59" s="130"/>
      <c r="C59" s="131"/>
      <c r="D59" s="131"/>
      <c r="E59" s="131"/>
      <c r="F59" s="131"/>
      <c r="G59" s="132"/>
      <c r="H59" s="131"/>
      <c r="I59" s="131"/>
      <c r="J59" s="131"/>
      <c r="K59" s="131"/>
      <c r="L59" s="442"/>
      <c r="M59" s="442"/>
      <c r="N59" s="442"/>
      <c r="O59" s="442"/>
      <c r="P59" s="133"/>
      <c r="Q59" s="134"/>
      <c r="R59" s="135"/>
      <c r="S59" s="136">
        <v>0</v>
      </c>
      <c r="T59" s="136">
        <v>0</v>
      </c>
      <c r="U59" s="505">
        <f t="shared" si="0"/>
        <v>0</v>
      </c>
      <c r="V59" s="180"/>
      <c r="W59" s="135"/>
      <c r="X59" s="181"/>
      <c r="Y59" s="135"/>
      <c r="Z59" s="135"/>
      <c r="AA59" s="135"/>
      <c r="AB59" s="135"/>
      <c r="AC59" s="137"/>
      <c r="AD59" s="135"/>
      <c r="AE59" s="135"/>
      <c r="AF59" s="135"/>
      <c r="AG59" s="135"/>
      <c r="AH59" s="135"/>
      <c r="AI59" s="135"/>
      <c r="AJ59" s="135"/>
      <c r="AK59" s="135"/>
      <c r="AM59" s="496">
        <f t="shared" si="4"/>
        <v>0</v>
      </c>
      <c r="AN59" s="490" t="e">
        <f>IF(assumptions!$B$13='VHFA Use'!$C$84,LOOKUP(1,V59:AB59,$V$5:$AB$5),"N/A")</f>
        <v>#N/A</v>
      </c>
    </row>
    <row r="60" spans="1:40" outlineLevel="1" x14ac:dyDescent="0.2">
      <c r="A60" s="311"/>
      <c r="B60" s="130"/>
      <c r="C60" s="131"/>
      <c r="D60" s="131"/>
      <c r="E60" s="131"/>
      <c r="F60" s="131"/>
      <c r="G60" s="132"/>
      <c r="H60" s="131"/>
      <c r="I60" s="131"/>
      <c r="J60" s="131"/>
      <c r="K60" s="131"/>
      <c r="L60" s="442"/>
      <c r="M60" s="442"/>
      <c r="N60" s="442"/>
      <c r="O60" s="442"/>
      <c r="P60" s="133"/>
      <c r="Q60" s="134"/>
      <c r="R60" s="135"/>
      <c r="S60" s="136">
        <v>0</v>
      </c>
      <c r="T60" s="136">
        <v>0</v>
      </c>
      <c r="U60" s="505">
        <f t="shared" si="0"/>
        <v>0</v>
      </c>
      <c r="V60" s="180"/>
      <c r="W60" s="135"/>
      <c r="X60" s="181"/>
      <c r="Y60" s="135"/>
      <c r="Z60" s="135"/>
      <c r="AA60" s="135"/>
      <c r="AB60" s="135"/>
      <c r="AC60" s="137"/>
      <c r="AD60" s="135"/>
      <c r="AE60" s="135"/>
      <c r="AF60" s="135"/>
      <c r="AG60" s="135"/>
      <c r="AH60" s="135"/>
      <c r="AI60" s="135"/>
      <c r="AJ60" s="135"/>
      <c r="AK60" s="135"/>
      <c r="AM60" s="496">
        <f t="shared" si="4"/>
        <v>0</v>
      </c>
      <c r="AN60" s="490" t="e">
        <f>IF(assumptions!$B$13='VHFA Use'!$C$84,LOOKUP(1,V60:AB60,$V$5:$AB$5),"N/A")</f>
        <v>#N/A</v>
      </c>
    </row>
    <row r="61" spans="1:40" outlineLevel="1" x14ac:dyDescent="0.2">
      <c r="A61" s="311"/>
      <c r="B61" s="130"/>
      <c r="C61" s="131"/>
      <c r="D61" s="131"/>
      <c r="E61" s="131"/>
      <c r="F61" s="131"/>
      <c r="G61" s="132"/>
      <c r="H61" s="131"/>
      <c r="I61" s="131"/>
      <c r="J61" s="131"/>
      <c r="K61" s="131"/>
      <c r="L61" s="442"/>
      <c r="M61" s="442"/>
      <c r="N61" s="442"/>
      <c r="O61" s="442"/>
      <c r="P61" s="133"/>
      <c r="Q61" s="134"/>
      <c r="R61" s="135"/>
      <c r="S61" s="136">
        <v>0</v>
      </c>
      <c r="T61" s="136">
        <v>0</v>
      </c>
      <c r="U61" s="505">
        <f t="shared" si="0"/>
        <v>0</v>
      </c>
      <c r="V61" s="180"/>
      <c r="W61" s="135"/>
      <c r="X61" s="181"/>
      <c r="Y61" s="135"/>
      <c r="Z61" s="135"/>
      <c r="AA61" s="135"/>
      <c r="AB61" s="135"/>
      <c r="AC61" s="137"/>
      <c r="AD61" s="135"/>
      <c r="AE61" s="135"/>
      <c r="AF61" s="135"/>
      <c r="AG61" s="135"/>
      <c r="AH61" s="135"/>
      <c r="AI61" s="135"/>
      <c r="AJ61" s="135"/>
      <c r="AK61" s="135"/>
      <c r="AM61" s="496">
        <f t="shared" si="4"/>
        <v>0</v>
      </c>
      <c r="AN61" s="490" t="e">
        <f>IF(assumptions!$B$13='VHFA Use'!$C$84,LOOKUP(1,V61:AB61,$V$5:$AB$5),"N/A")</f>
        <v>#N/A</v>
      </c>
    </row>
    <row r="62" spans="1:40" outlineLevel="1" x14ac:dyDescent="0.2">
      <c r="A62" s="311"/>
      <c r="B62" s="130"/>
      <c r="C62" s="131"/>
      <c r="D62" s="131"/>
      <c r="E62" s="131"/>
      <c r="F62" s="131"/>
      <c r="G62" s="132"/>
      <c r="H62" s="131"/>
      <c r="I62" s="131"/>
      <c r="J62" s="131"/>
      <c r="K62" s="131"/>
      <c r="L62" s="442"/>
      <c r="M62" s="442"/>
      <c r="N62" s="442"/>
      <c r="O62" s="442"/>
      <c r="P62" s="133"/>
      <c r="Q62" s="134"/>
      <c r="R62" s="135"/>
      <c r="S62" s="136">
        <v>0</v>
      </c>
      <c r="T62" s="136">
        <v>0</v>
      </c>
      <c r="U62" s="505">
        <f t="shared" si="0"/>
        <v>0</v>
      </c>
      <c r="V62" s="180"/>
      <c r="W62" s="135"/>
      <c r="X62" s="181"/>
      <c r="Y62" s="135"/>
      <c r="Z62" s="135"/>
      <c r="AA62" s="135"/>
      <c r="AB62" s="135"/>
      <c r="AC62" s="137"/>
      <c r="AD62" s="135"/>
      <c r="AE62" s="135"/>
      <c r="AF62" s="135"/>
      <c r="AG62" s="135"/>
      <c r="AH62" s="135"/>
      <c r="AI62" s="135"/>
      <c r="AJ62" s="135"/>
      <c r="AK62" s="135"/>
      <c r="AM62" s="496">
        <f t="shared" si="4"/>
        <v>0</v>
      </c>
      <c r="AN62" s="490" t="e">
        <f>IF(assumptions!$B$13='VHFA Use'!$C$84,LOOKUP(1,V62:AB62,$V$5:$AB$5),"N/A")</f>
        <v>#N/A</v>
      </c>
    </row>
    <row r="63" spans="1:40" outlineLevel="1" x14ac:dyDescent="0.2">
      <c r="A63" s="311"/>
      <c r="B63" s="130"/>
      <c r="C63" s="131"/>
      <c r="D63" s="131"/>
      <c r="E63" s="131"/>
      <c r="F63" s="131"/>
      <c r="G63" s="132"/>
      <c r="H63" s="131"/>
      <c r="I63" s="131"/>
      <c r="J63" s="131"/>
      <c r="K63" s="131"/>
      <c r="L63" s="442"/>
      <c r="M63" s="442"/>
      <c r="N63" s="442"/>
      <c r="O63" s="442"/>
      <c r="P63" s="133"/>
      <c r="Q63" s="134"/>
      <c r="R63" s="135"/>
      <c r="S63" s="136">
        <v>0</v>
      </c>
      <c r="T63" s="136">
        <v>0</v>
      </c>
      <c r="U63" s="505">
        <f t="shared" si="0"/>
        <v>0</v>
      </c>
      <c r="V63" s="180"/>
      <c r="W63" s="135"/>
      <c r="X63" s="181"/>
      <c r="Y63" s="135"/>
      <c r="Z63" s="135"/>
      <c r="AA63" s="135"/>
      <c r="AB63" s="135"/>
      <c r="AC63" s="137"/>
      <c r="AD63" s="135"/>
      <c r="AE63" s="135"/>
      <c r="AF63" s="135"/>
      <c r="AG63" s="135"/>
      <c r="AH63" s="135"/>
      <c r="AI63" s="135"/>
      <c r="AJ63" s="135"/>
      <c r="AK63" s="135"/>
      <c r="AM63" s="496">
        <f t="shared" si="4"/>
        <v>0</v>
      </c>
      <c r="AN63" s="490" t="e">
        <f>IF(assumptions!$B$13='VHFA Use'!$C$84,LOOKUP(1,V63:AB63,$V$5:$AB$5),"N/A")</f>
        <v>#N/A</v>
      </c>
    </row>
    <row r="64" spans="1:40" outlineLevel="1" x14ac:dyDescent="0.2">
      <c r="A64" s="311"/>
      <c r="B64" s="130"/>
      <c r="C64" s="131"/>
      <c r="D64" s="131"/>
      <c r="E64" s="131"/>
      <c r="F64" s="131"/>
      <c r="G64" s="132"/>
      <c r="H64" s="131"/>
      <c r="I64" s="131"/>
      <c r="J64" s="131"/>
      <c r="K64" s="131"/>
      <c r="L64" s="442"/>
      <c r="M64" s="442"/>
      <c r="N64" s="442"/>
      <c r="O64" s="442"/>
      <c r="P64" s="133"/>
      <c r="Q64" s="134"/>
      <c r="R64" s="135"/>
      <c r="S64" s="136">
        <v>0</v>
      </c>
      <c r="T64" s="136">
        <v>0</v>
      </c>
      <c r="U64" s="505">
        <f t="shared" si="0"/>
        <v>0</v>
      </c>
      <c r="V64" s="180"/>
      <c r="W64" s="135"/>
      <c r="X64" s="181"/>
      <c r="Y64" s="135"/>
      <c r="Z64" s="135"/>
      <c r="AA64" s="135"/>
      <c r="AB64" s="135"/>
      <c r="AC64" s="137"/>
      <c r="AD64" s="135"/>
      <c r="AE64" s="135"/>
      <c r="AF64" s="135"/>
      <c r="AG64" s="135"/>
      <c r="AH64" s="135"/>
      <c r="AI64" s="135"/>
      <c r="AJ64" s="135"/>
      <c r="AK64" s="135"/>
      <c r="AM64" s="496">
        <f t="shared" si="4"/>
        <v>0</v>
      </c>
      <c r="AN64" s="490" t="e">
        <f>IF(assumptions!$B$13='VHFA Use'!$C$84,LOOKUP(1,V64:AB64,$V$5:$AB$5),"N/A")</f>
        <v>#N/A</v>
      </c>
    </row>
    <row r="65" spans="1:40" outlineLevel="1" x14ac:dyDescent="0.2">
      <c r="A65" s="311"/>
      <c r="B65" s="130"/>
      <c r="C65" s="131"/>
      <c r="D65" s="131"/>
      <c r="E65" s="131"/>
      <c r="F65" s="131"/>
      <c r="G65" s="132"/>
      <c r="H65" s="131"/>
      <c r="I65" s="131"/>
      <c r="J65" s="131"/>
      <c r="K65" s="131"/>
      <c r="L65" s="442"/>
      <c r="M65" s="442"/>
      <c r="N65" s="442"/>
      <c r="O65" s="442"/>
      <c r="P65" s="133"/>
      <c r="Q65" s="134"/>
      <c r="R65" s="135"/>
      <c r="S65" s="136">
        <v>0</v>
      </c>
      <c r="T65" s="136">
        <v>0</v>
      </c>
      <c r="U65" s="505">
        <f t="shared" si="0"/>
        <v>0</v>
      </c>
      <c r="V65" s="180"/>
      <c r="W65" s="135"/>
      <c r="X65" s="181"/>
      <c r="Y65" s="135"/>
      <c r="Z65" s="135"/>
      <c r="AA65" s="135"/>
      <c r="AB65" s="135"/>
      <c r="AC65" s="137"/>
      <c r="AD65" s="135"/>
      <c r="AE65" s="135"/>
      <c r="AF65" s="135"/>
      <c r="AG65" s="135"/>
      <c r="AH65" s="135"/>
      <c r="AI65" s="135"/>
      <c r="AJ65" s="135"/>
      <c r="AK65" s="135"/>
      <c r="AM65" s="496">
        <f t="shared" si="4"/>
        <v>0</v>
      </c>
      <c r="AN65" s="490" t="e">
        <f>IF(assumptions!$B$13='VHFA Use'!$C$84,LOOKUP(1,V65:AB65,$V$5:$AB$5),"N/A")</f>
        <v>#N/A</v>
      </c>
    </row>
    <row r="66" spans="1:40" outlineLevel="1" x14ac:dyDescent="0.2">
      <c r="A66" s="311"/>
      <c r="B66" s="130"/>
      <c r="C66" s="131"/>
      <c r="D66" s="131"/>
      <c r="E66" s="131"/>
      <c r="F66" s="131"/>
      <c r="G66" s="132"/>
      <c r="H66" s="131"/>
      <c r="I66" s="131"/>
      <c r="J66" s="131"/>
      <c r="K66" s="131"/>
      <c r="L66" s="442"/>
      <c r="M66" s="442"/>
      <c r="N66" s="442"/>
      <c r="O66" s="442"/>
      <c r="P66" s="133"/>
      <c r="Q66" s="134"/>
      <c r="R66" s="135"/>
      <c r="S66" s="136">
        <v>0</v>
      </c>
      <c r="T66" s="136">
        <v>0</v>
      </c>
      <c r="U66" s="505">
        <f t="shared" si="0"/>
        <v>0</v>
      </c>
      <c r="V66" s="180"/>
      <c r="W66" s="135"/>
      <c r="X66" s="181"/>
      <c r="Y66" s="135"/>
      <c r="Z66" s="135"/>
      <c r="AA66" s="135"/>
      <c r="AB66" s="135"/>
      <c r="AC66" s="137"/>
      <c r="AD66" s="135"/>
      <c r="AE66" s="135"/>
      <c r="AF66" s="135"/>
      <c r="AG66" s="135"/>
      <c r="AH66" s="135"/>
      <c r="AI66" s="135"/>
      <c r="AJ66" s="135"/>
      <c r="AK66" s="135"/>
      <c r="AM66" s="496">
        <f t="shared" si="4"/>
        <v>0</v>
      </c>
      <c r="AN66" s="490" t="e">
        <f>IF(assumptions!$B$13='VHFA Use'!$C$84,LOOKUP(1,V66:AB66,$V$5:$AB$5),"N/A")</f>
        <v>#N/A</v>
      </c>
    </row>
    <row r="67" spans="1:40" outlineLevel="1" x14ac:dyDescent="0.2">
      <c r="A67" s="311"/>
      <c r="B67" s="130"/>
      <c r="C67" s="131"/>
      <c r="D67" s="131"/>
      <c r="E67" s="131"/>
      <c r="F67" s="131"/>
      <c r="G67" s="132"/>
      <c r="H67" s="131"/>
      <c r="I67" s="131"/>
      <c r="J67" s="131"/>
      <c r="K67" s="131"/>
      <c r="L67" s="442"/>
      <c r="M67" s="442"/>
      <c r="N67" s="442"/>
      <c r="O67" s="442"/>
      <c r="P67" s="133"/>
      <c r="Q67" s="134"/>
      <c r="R67" s="135"/>
      <c r="S67" s="136">
        <v>0</v>
      </c>
      <c r="T67" s="136">
        <v>0</v>
      </c>
      <c r="U67" s="505">
        <f t="shared" si="0"/>
        <v>0</v>
      </c>
      <c r="V67" s="180"/>
      <c r="W67" s="135"/>
      <c r="X67" s="181"/>
      <c r="Y67" s="135"/>
      <c r="Z67" s="135"/>
      <c r="AA67" s="135"/>
      <c r="AB67" s="135"/>
      <c r="AC67" s="137"/>
      <c r="AD67" s="135"/>
      <c r="AE67" s="135"/>
      <c r="AF67" s="135"/>
      <c r="AG67" s="135"/>
      <c r="AH67" s="135"/>
      <c r="AI67" s="135"/>
      <c r="AJ67" s="135"/>
      <c r="AK67" s="135"/>
      <c r="AM67" s="496">
        <f t="shared" si="4"/>
        <v>0</v>
      </c>
      <c r="AN67" s="490" t="e">
        <f>IF(assumptions!$B$13='VHFA Use'!$C$84,LOOKUP(1,V67:AB67,$V$5:$AB$5),"N/A")</f>
        <v>#N/A</v>
      </c>
    </row>
    <row r="68" spans="1:40" outlineLevel="1" x14ac:dyDescent="0.2">
      <c r="A68" s="311"/>
      <c r="B68" s="130"/>
      <c r="C68" s="131"/>
      <c r="D68" s="131"/>
      <c r="E68" s="131"/>
      <c r="F68" s="131"/>
      <c r="G68" s="132"/>
      <c r="H68" s="131"/>
      <c r="I68" s="131"/>
      <c r="J68" s="131"/>
      <c r="K68" s="131"/>
      <c r="L68" s="442"/>
      <c r="M68" s="442"/>
      <c r="N68" s="442"/>
      <c r="O68" s="442"/>
      <c r="P68" s="133"/>
      <c r="Q68" s="134"/>
      <c r="R68" s="135"/>
      <c r="S68" s="136">
        <v>0</v>
      </c>
      <c r="T68" s="136">
        <v>0</v>
      </c>
      <c r="U68" s="505">
        <f t="shared" si="0"/>
        <v>0</v>
      </c>
      <c r="V68" s="180"/>
      <c r="W68" s="135"/>
      <c r="X68" s="181"/>
      <c r="Y68" s="135"/>
      <c r="Z68" s="135"/>
      <c r="AA68" s="135"/>
      <c r="AB68" s="135"/>
      <c r="AC68" s="137"/>
      <c r="AD68" s="135"/>
      <c r="AE68" s="135"/>
      <c r="AF68" s="135"/>
      <c r="AG68" s="135"/>
      <c r="AH68" s="135"/>
      <c r="AI68" s="135"/>
      <c r="AJ68" s="135"/>
      <c r="AK68" s="135"/>
      <c r="AM68" s="496">
        <f t="shared" si="4"/>
        <v>0</v>
      </c>
      <c r="AN68" s="490" t="e">
        <f>IF(assumptions!$B$13='VHFA Use'!$C$84,LOOKUP(1,V68:AB68,$V$5:$AB$5),"N/A")</f>
        <v>#N/A</v>
      </c>
    </row>
    <row r="69" spans="1:40" outlineLevel="1" x14ac:dyDescent="0.2">
      <c r="A69" s="311"/>
      <c r="B69" s="130"/>
      <c r="C69" s="131"/>
      <c r="D69" s="131"/>
      <c r="E69" s="131"/>
      <c r="F69" s="131"/>
      <c r="G69" s="132"/>
      <c r="H69" s="131"/>
      <c r="I69" s="131"/>
      <c r="J69" s="131"/>
      <c r="K69" s="131"/>
      <c r="L69" s="442"/>
      <c r="M69" s="442"/>
      <c r="N69" s="442"/>
      <c r="O69" s="442"/>
      <c r="P69" s="133"/>
      <c r="Q69" s="134"/>
      <c r="R69" s="135"/>
      <c r="S69" s="136">
        <v>0</v>
      </c>
      <c r="T69" s="136">
        <v>0</v>
      </c>
      <c r="U69" s="505">
        <f t="shared" si="0"/>
        <v>0</v>
      </c>
      <c r="V69" s="180"/>
      <c r="W69" s="135"/>
      <c r="X69" s="181"/>
      <c r="Y69" s="135"/>
      <c r="Z69" s="135"/>
      <c r="AA69" s="135"/>
      <c r="AB69" s="135"/>
      <c r="AC69" s="137"/>
      <c r="AD69" s="135"/>
      <c r="AE69" s="135"/>
      <c r="AF69" s="135"/>
      <c r="AG69" s="135"/>
      <c r="AH69" s="135"/>
      <c r="AI69" s="135"/>
      <c r="AJ69" s="135"/>
      <c r="AK69" s="135"/>
      <c r="AM69" s="496">
        <f t="shared" si="4"/>
        <v>0</v>
      </c>
      <c r="AN69" s="490" t="e">
        <f>IF(assumptions!$B$13='VHFA Use'!$C$84,LOOKUP(1,V69:AB69,$V$5:$AB$5),"N/A")</f>
        <v>#N/A</v>
      </c>
    </row>
    <row r="70" spans="1:40" outlineLevel="1" x14ac:dyDescent="0.2">
      <c r="A70" s="311"/>
      <c r="B70" s="130"/>
      <c r="C70" s="131"/>
      <c r="D70" s="131"/>
      <c r="E70" s="131"/>
      <c r="F70" s="131"/>
      <c r="G70" s="132"/>
      <c r="H70" s="131"/>
      <c r="I70" s="131"/>
      <c r="J70" s="131"/>
      <c r="K70" s="131"/>
      <c r="L70" s="442"/>
      <c r="M70" s="442"/>
      <c r="N70" s="442"/>
      <c r="O70" s="442"/>
      <c r="P70" s="133"/>
      <c r="Q70" s="134"/>
      <c r="R70" s="135"/>
      <c r="S70" s="136">
        <v>0</v>
      </c>
      <c r="T70" s="136">
        <v>0</v>
      </c>
      <c r="U70" s="505">
        <f t="shared" si="0"/>
        <v>0</v>
      </c>
      <c r="V70" s="180"/>
      <c r="W70" s="135"/>
      <c r="X70" s="181"/>
      <c r="Y70" s="135"/>
      <c r="Z70" s="135"/>
      <c r="AA70" s="135"/>
      <c r="AB70" s="135"/>
      <c r="AC70" s="137"/>
      <c r="AD70" s="135"/>
      <c r="AE70" s="135"/>
      <c r="AF70" s="135"/>
      <c r="AG70" s="135"/>
      <c r="AH70" s="135"/>
      <c r="AI70" s="135"/>
      <c r="AJ70" s="135"/>
      <c r="AK70" s="135"/>
      <c r="AM70" s="496">
        <f t="shared" ref="AM70:AM99" si="5">G70*R70</f>
        <v>0</v>
      </c>
      <c r="AN70" s="490" t="e">
        <f>IF(assumptions!$B$13='VHFA Use'!$C$84,LOOKUP(1,V70:AB70,$V$5:$AB$5),"N/A")</f>
        <v>#N/A</v>
      </c>
    </row>
    <row r="71" spans="1:40" outlineLevel="1" x14ac:dyDescent="0.2">
      <c r="A71" s="311"/>
      <c r="B71" s="130"/>
      <c r="C71" s="131"/>
      <c r="D71" s="131"/>
      <c r="E71" s="131"/>
      <c r="F71" s="131"/>
      <c r="G71" s="132"/>
      <c r="H71" s="131"/>
      <c r="I71" s="131"/>
      <c r="J71" s="131"/>
      <c r="K71" s="131"/>
      <c r="L71" s="442"/>
      <c r="M71" s="442"/>
      <c r="N71" s="442"/>
      <c r="O71" s="442"/>
      <c r="P71" s="133"/>
      <c r="Q71" s="134"/>
      <c r="R71" s="135"/>
      <c r="S71" s="136">
        <v>0</v>
      </c>
      <c r="T71" s="136">
        <v>0</v>
      </c>
      <c r="U71" s="505">
        <f t="shared" si="0"/>
        <v>0</v>
      </c>
      <c r="V71" s="180"/>
      <c r="W71" s="135"/>
      <c r="X71" s="181"/>
      <c r="Y71" s="135"/>
      <c r="Z71" s="135"/>
      <c r="AA71" s="135"/>
      <c r="AB71" s="135"/>
      <c r="AC71" s="137"/>
      <c r="AD71" s="135"/>
      <c r="AE71" s="135"/>
      <c r="AF71" s="135"/>
      <c r="AG71" s="135"/>
      <c r="AH71" s="135"/>
      <c r="AI71" s="135"/>
      <c r="AJ71" s="135"/>
      <c r="AK71" s="135"/>
      <c r="AM71" s="496">
        <f t="shared" si="5"/>
        <v>0</v>
      </c>
      <c r="AN71" s="490" t="e">
        <f>IF(assumptions!$B$13='VHFA Use'!$C$84,LOOKUP(1,V71:AB71,$V$5:$AB$5),"N/A")</f>
        <v>#N/A</v>
      </c>
    </row>
    <row r="72" spans="1:40" outlineLevel="1" x14ac:dyDescent="0.2">
      <c r="A72" s="311"/>
      <c r="B72" s="130"/>
      <c r="C72" s="131"/>
      <c r="D72" s="131"/>
      <c r="E72" s="131"/>
      <c r="F72" s="131"/>
      <c r="G72" s="132"/>
      <c r="H72" s="131"/>
      <c r="I72" s="131"/>
      <c r="J72" s="131"/>
      <c r="K72" s="131"/>
      <c r="L72" s="442"/>
      <c r="M72" s="442"/>
      <c r="N72" s="442"/>
      <c r="O72" s="442"/>
      <c r="P72" s="133"/>
      <c r="Q72" s="134"/>
      <c r="R72" s="135"/>
      <c r="S72" s="136">
        <v>0</v>
      </c>
      <c r="T72" s="136">
        <v>0</v>
      </c>
      <c r="U72" s="505">
        <f t="shared" si="0"/>
        <v>0</v>
      </c>
      <c r="V72" s="180"/>
      <c r="W72" s="135"/>
      <c r="X72" s="181"/>
      <c r="Y72" s="135"/>
      <c r="Z72" s="135"/>
      <c r="AA72" s="135"/>
      <c r="AB72" s="135"/>
      <c r="AC72" s="137"/>
      <c r="AD72" s="135"/>
      <c r="AE72" s="135"/>
      <c r="AF72" s="135"/>
      <c r="AG72" s="135"/>
      <c r="AH72" s="135"/>
      <c r="AI72" s="135"/>
      <c r="AJ72" s="135"/>
      <c r="AK72" s="135"/>
      <c r="AM72" s="496">
        <f t="shared" si="5"/>
        <v>0</v>
      </c>
      <c r="AN72" s="490" t="e">
        <f>IF(assumptions!$B$13='VHFA Use'!$C$84,LOOKUP(1,V72:AB72,$V$5:$AB$5),"N/A")</f>
        <v>#N/A</v>
      </c>
    </row>
    <row r="73" spans="1:40" outlineLevel="1" x14ac:dyDescent="0.2">
      <c r="A73" s="311"/>
      <c r="B73" s="130"/>
      <c r="C73" s="131"/>
      <c r="D73" s="131"/>
      <c r="E73" s="131"/>
      <c r="F73" s="131"/>
      <c r="G73" s="132"/>
      <c r="H73" s="131"/>
      <c r="I73" s="131"/>
      <c r="J73" s="131"/>
      <c r="K73" s="131"/>
      <c r="L73" s="442"/>
      <c r="M73" s="442"/>
      <c r="N73" s="442"/>
      <c r="O73" s="442"/>
      <c r="P73" s="133"/>
      <c r="Q73" s="134"/>
      <c r="R73" s="135"/>
      <c r="S73" s="136">
        <v>0</v>
      </c>
      <c r="T73" s="136">
        <v>0</v>
      </c>
      <c r="U73" s="505">
        <f t="shared" si="0"/>
        <v>0</v>
      </c>
      <c r="V73" s="180"/>
      <c r="W73" s="135"/>
      <c r="X73" s="181"/>
      <c r="Y73" s="135"/>
      <c r="Z73" s="135"/>
      <c r="AA73" s="135"/>
      <c r="AB73" s="135"/>
      <c r="AC73" s="137"/>
      <c r="AD73" s="135"/>
      <c r="AE73" s="135"/>
      <c r="AF73" s="135"/>
      <c r="AG73" s="135"/>
      <c r="AH73" s="135"/>
      <c r="AI73" s="135"/>
      <c r="AJ73" s="135"/>
      <c r="AK73" s="135"/>
      <c r="AM73" s="496">
        <f t="shared" si="5"/>
        <v>0</v>
      </c>
      <c r="AN73" s="490" t="e">
        <f>IF(assumptions!$B$13='VHFA Use'!$C$84,LOOKUP(1,V73:AB73,$V$5:$AB$5),"N/A")</f>
        <v>#N/A</v>
      </c>
    </row>
    <row r="74" spans="1:40" outlineLevel="1" x14ac:dyDescent="0.2">
      <c r="A74" s="311"/>
      <c r="B74" s="130"/>
      <c r="C74" s="131"/>
      <c r="D74" s="131"/>
      <c r="E74" s="131"/>
      <c r="F74" s="131"/>
      <c r="G74" s="132"/>
      <c r="H74" s="131"/>
      <c r="I74" s="131"/>
      <c r="J74" s="131"/>
      <c r="K74" s="131"/>
      <c r="L74" s="442"/>
      <c r="M74" s="442"/>
      <c r="N74" s="442"/>
      <c r="O74" s="442"/>
      <c r="P74" s="133"/>
      <c r="Q74" s="134"/>
      <c r="R74" s="135"/>
      <c r="S74" s="136">
        <v>0</v>
      </c>
      <c r="T74" s="136">
        <v>0</v>
      </c>
      <c r="U74" s="505">
        <f t="shared" si="0"/>
        <v>0</v>
      </c>
      <c r="V74" s="180"/>
      <c r="W74" s="135"/>
      <c r="X74" s="181"/>
      <c r="Y74" s="135"/>
      <c r="Z74" s="135"/>
      <c r="AA74" s="135"/>
      <c r="AB74" s="135"/>
      <c r="AC74" s="137"/>
      <c r="AD74" s="135"/>
      <c r="AE74" s="135"/>
      <c r="AF74" s="135"/>
      <c r="AG74" s="135"/>
      <c r="AH74" s="135"/>
      <c r="AI74" s="135"/>
      <c r="AJ74" s="135"/>
      <c r="AK74" s="135"/>
      <c r="AM74" s="496">
        <f t="shared" si="5"/>
        <v>0</v>
      </c>
      <c r="AN74" s="490" t="e">
        <f>IF(assumptions!$B$13='VHFA Use'!$C$84,LOOKUP(1,V74:AB74,$V$5:$AB$5),"N/A")</f>
        <v>#N/A</v>
      </c>
    </row>
    <row r="75" spans="1:40" outlineLevel="1" x14ac:dyDescent="0.2">
      <c r="A75" s="311"/>
      <c r="B75" s="130"/>
      <c r="C75" s="131"/>
      <c r="D75" s="131"/>
      <c r="E75" s="131"/>
      <c r="F75" s="131"/>
      <c r="G75" s="132"/>
      <c r="H75" s="131"/>
      <c r="I75" s="131"/>
      <c r="J75" s="131"/>
      <c r="K75" s="131"/>
      <c r="L75" s="442"/>
      <c r="M75" s="442"/>
      <c r="N75" s="442"/>
      <c r="O75" s="442"/>
      <c r="P75" s="133"/>
      <c r="Q75" s="134"/>
      <c r="R75" s="135"/>
      <c r="S75" s="136">
        <v>0</v>
      </c>
      <c r="T75" s="136">
        <v>0</v>
      </c>
      <c r="U75" s="505">
        <f t="shared" si="0"/>
        <v>0</v>
      </c>
      <c r="V75" s="180"/>
      <c r="W75" s="135"/>
      <c r="X75" s="181"/>
      <c r="Y75" s="135"/>
      <c r="Z75" s="135"/>
      <c r="AA75" s="135"/>
      <c r="AB75" s="135"/>
      <c r="AC75" s="137"/>
      <c r="AD75" s="135"/>
      <c r="AE75" s="135"/>
      <c r="AF75" s="135"/>
      <c r="AG75" s="135"/>
      <c r="AH75" s="135"/>
      <c r="AI75" s="135"/>
      <c r="AJ75" s="135"/>
      <c r="AK75" s="135"/>
      <c r="AM75" s="496">
        <f t="shared" si="5"/>
        <v>0</v>
      </c>
      <c r="AN75" s="490" t="e">
        <f>IF(assumptions!$B$13='VHFA Use'!$C$84,LOOKUP(1,V75:AB75,$V$5:$AB$5),"N/A")</f>
        <v>#N/A</v>
      </c>
    </row>
    <row r="76" spans="1:40" outlineLevel="1" x14ac:dyDescent="0.2">
      <c r="A76" s="311"/>
      <c r="B76" s="130"/>
      <c r="C76" s="131"/>
      <c r="D76" s="131"/>
      <c r="E76" s="131"/>
      <c r="F76" s="131"/>
      <c r="G76" s="132"/>
      <c r="H76" s="131"/>
      <c r="I76" s="131"/>
      <c r="J76" s="131"/>
      <c r="K76" s="131"/>
      <c r="L76" s="442"/>
      <c r="M76" s="442"/>
      <c r="N76" s="442"/>
      <c r="O76" s="442"/>
      <c r="P76" s="133"/>
      <c r="Q76" s="134"/>
      <c r="R76" s="135"/>
      <c r="S76" s="136">
        <v>0</v>
      </c>
      <c r="T76" s="136">
        <v>0</v>
      </c>
      <c r="U76" s="505">
        <f t="shared" si="0"/>
        <v>0</v>
      </c>
      <c r="V76" s="180"/>
      <c r="W76" s="135"/>
      <c r="X76" s="181"/>
      <c r="Y76" s="135"/>
      <c r="Z76" s="135"/>
      <c r="AA76" s="135"/>
      <c r="AB76" s="135"/>
      <c r="AC76" s="137"/>
      <c r="AD76" s="135"/>
      <c r="AE76" s="135"/>
      <c r="AF76" s="135"/>
      <c r="AG76" s="135"/>
      <c r="AH76" s="135"/>
      <c r="AI76" s="135"/>
      <c r="AJ76" s="135"/>
      <c r="AK76" s="135"/>
      <c r="AM76" s="496">
        <f t="shared" si="5"/>
        <v>0</v>
      </c>
      <c r="AN76" s="490" t="e">
        <f>IF(assumptions!$B$13='VHFA Use'!$C$84,LOOKUP(1,V76:AB76,$V$5:$AB$5),"N/A")</f>
        <v>#N/A</v>
      </c>
    </row>
    <row r="77" spans="1:40" outlineLevel="1" x14ac:dyDescent="0.2">
      <c r="A77" s="311"/>
      <c r="B77" s="130"/>
      <c r="C77" s="131"/>
      <c r="D77" s="131"/>
      <c r="E77" s="131"/>
      <c r="F77" s="131"/>
      <c r="G77" s="132"/>
      <c r="H77" s="131"/>
      <c r="I77" s="131"/>
      <c r="J77" s="131"/>
      <c r="K77" s="131"/>
      <c r="L77" s="442"/>
      <c r="M77" s="442"/>
      <c r="N77" s="442"/>
      <c r="O77" s="442"/>
      <c r="P77" s="133"/>
      <c r="Q77" s="134"/>
      <c r="R77" s="135"/>
      <c r="S77" s="136">
        <v>0</v>
      </c>
      <c r="T77" s="136">
        <v>0</v>
      </c>
      <c r="U77" s="505">
        <f t="shared" si="0"/>
        <v>0</v>
      </c>
      <c r="V77" s="180"/>
      <c r="W77" s="135"/>
      <c r="X77" s="181"/>
      <c r="Y77" s="135"/>
      <c r="Z77" s="135"/>
      <c r="AA77" s="135"/>
      <c r="AB77" s="135"/>
      <c r="AC77" s="137"/>
      <c r="AD77" s="135"/>
      <c r="AE77" s="135"/>
      <c r="AF77" s="135"/>
      <c r="AG77" s="135"/>
      <c r="AH77" s="135"/>
      <c r="AI77" s="135"/>
      <c r="AJ77" s="135"/>
      <c r="AK77" s="135"/>
      <c r="AM77" s="496">
        <f t="shared" si="5"/>
        <v>0</v>
      </c>
      <c r="AN77" s="490" t="e">
        <f>IF(assumptions!$B$13='VHFA Use'!$C$84,LOOKUP(1,V77:AB77,$V$5:$AB$5),"N/A")</f>
        <v>#N/A</v>
      </c>
    </row>
    <row r="78" spans="1:40" outlineLevel="1" x14ac:dyDescent="0.2">
      <c r="A78" s="311"/>
      <c r="B78" s="130"/>
      <c r="C78" s="131"/>
      <c r="D78" s="131"/>
      <c r="E78" s="131"/>
      <c r="F78" s="131"/>
      <c r="G78" s="132"/>
      <c r="H78" s="131"/>
      <c r="I78" s="131"/>
      <c r="J78" s="131"/>
      <c r="K78" s="131"/>
      <c r="L78" s="442"/>
      <c r="M78" s="442"/>
      <c r="N78" s="442"/>
      <c r="O78" s="442"/>
      <c r="P78" s="133"/>
      <c r="Q78" s="134"/>
      <c r="R78" s="135"/>
      <c r="S78" s="136">
        <v>0</v>
      </c>
      <c r="T78" s="136">
        <v>0</v>
      </c>
      <c r="U78" s="505">
        <f t="shared" si="0"/>
        <v>0</v>
      </c>
      <c r="V78" s="180"/>
      <c r="W78" s="135"/>
      <c r="X78" s="181"/>
      <c r="Y78" s="135"/>
      <c r="Z78" s="135"/>
      <c r="AA78" s="135"/>
      <c r="AB78" s="135"/>
      <c r="AC78" s="137"/>
      <c r="AD78" s="135"/>
      <c r="AE78" s="135"/>
      <c r="AF78" s="135"/>
      <c r="AG78" s="135"/>
      <c r="AH78" s="135"/>
      <c r="AI78" s="135"/>
      <c r="AJ78" s="135"/>
      <c r="AK78" s="135"/>
      <c r="AM78" s="496">
        <f t="shared" si="5"/>
        <v>0</v>
      </c>
      <c r="AN78" s="490" t="e">
        <f>IF(assumptions!$B$13='VHFA Use'!$C$84,LOOKUP(1,V78:AB78,$V$5:$AB$5),"N/A")</f>
        <v>#N/A</v>
      </c>
    </row>
    <row r="79" spans="1:40" outlineLevel="1" x14ac:dyDescent="0.2">
      <c r="A79" s="311"/>
      <c r="B79" s="130"/>
      <c r="C79" s="131"/>
      <c r="D79" s="131"/>
      <c r="E79" s="131"/>
      <c r="F79" s="131"/>
      <c r="G79" s="132"/>
      <c r="H79" s="131"/>
      <c r="I79" s="131"/>
      <c r="J79" s="131"/>
      <c r="K79" s="131"/>
      <c r="L79" s="442"/>
      <c r="M79" s="442"/>
      <c r="N79" s="442"/>
      <c r="O79" s="442"/>
      <c r="P79" s="133"/>
      <c r="Q79" s="134"/>
      <c r="R79" s="135"/>
      <c r="S79" s="136">
        <v>0</v>
      </c>
      <c r="T79" s="136">
        <v>0</v>
      </c>
      <c r="U79" s="505">
        <f t="shared" si="0"/>
        <v>0</v>
      </c>
      <c r="V79" s="180"/>
      <c r="W79" s="135"/>
      <c r="X79" s="181"/>
      <c r="Y79" s="135"/>
      <c r="Z79" s="135"/>
      <c r="AA79" s="135"/>
      <c r="AB79" s="135"/>
      <c r="AC79" s="137"/>
      <c r="AD79" s="135"/>
      <c r="AE79" s="135"/>
      <c r="AF79" s="135"/>
      <c r="AG79" s="135"/>
      <c r="AH79" s="135"/>
      <c r="AI79" s="135"/>
      <c r="AJ79" s="135"/>
      <c r="AK79" s="135"/>
      <c r="AM79" s="496">
        <f t="shared" si="5"/>
        <v>0</v>
      </c>
      <c r="AN79" s="490" t="e">
        <f>IF(assumptions!$B$13='VHFA Use'!$C$84,LOOKUP(1,V79:AB79,$V$5:$AB$5),"N/A")</f>
        <v>#N/A</v>
      </c>
    </row>
    <row r="80" spans="1:40" outlineLevel="1" x14ac:dyDescent="0.2">
      <c r="A80" s="311"/>
      <c r="B80" s="130"/>
      <c r="C80" s="131"/>
      <c r="D80" s="131"/>
      <c r="E80" s="131"/>
      <c r="F80" s="131"/>
      <c r="G80" s="132"/>
      <c r="H80" s="131"/>
      <c r="I80" s="131"/>
      <c r="J80" s="131"/>
      <c r="K80" s="131"/>
      <c r="L80" s="442"/>
      <c r="M80" s="442"/>
      <c r="N80" s="442"/>
      <c r="O80" s="442"/>
      <c r="P80" s="133"/>
      <c r="Q80" s="134"/>
      <c r="R80" s="135"/>
      <c r="S80" s="136">
        <v>0</v>
      </c>
      <c r="T80" s="136">
        <v>0</v>
      </c>
      <c r="U80" s="505">
        <f t="shared" si="0"/>
        <v>0</v>
      </c>
      <c r="V80" s="180"/>
      <c r="W80" s="135"/>
      <c r="X80" s="181"/>
      <c r="Y80" s="135"/>
      <c r="Z80" s="135"/>
      <c r="AA80" s="135"/>
      <c r="AB80" s="135"/>
      <c r="AC80" s="137"/>
      <c r="AD80" s="135"/>
      <c r="AE80" s="135"/>
      <c r="AF80" s="135"/>
      <c r="AG80" s="135"/>
      <c r="AH80" s="135"/>
      <c r="AI80" s="135"/>
      <c r="AJ80" s="135"/>
      <c r="AK80" s="135"/>
      <c r="AM80" s="496">
        <f t="shared" si="5"/>
        <v>0</v>
      </c>
      <c r="AN80" s="490" t="e">
        <f>IF(assumptions!$B$13='VHFA Use'!$C$84,LOOKUP(1,V80:AB80,$V$5:$AB$5),"N/A")</f>
        <v>#N/A</v>
      </c>
    </row>
    <row r="81" spans="1:40" outlineLevel="1" x14ac:dyDescent="0.2">
      <c r="A81" s="311"/>
      <c r="B81" s="130"/>
      <c r="C81" s="131"/>
      <c r="D81" s="131"/>
      <c r="E81" s="131"/>
      <c r="F81" s="131"/>
      <c r="G81" s="132"/>
      <c r="H81" s="131"/>
      <c r="I81" s="131"/>
      <c r="J81" s="131"/>
      <c r="K81" s="131"/>
      <c r="L81" s="442"/>
      <c r="M81" s="442"/>
      <c r="N81" s="442"/>
      <c r="O81" s="442"/>
      <c r="P81" s="133"/>
      <c r="Q81" s="134"/>
      <c r="R81" s="135"/>
      <c r="S81" s="136">
        <v>0</v>
      </c>
      <c r="T81" s="136">
        <v>0</v>
      </c>
      <c r="U81" s="505">
        <f t="shared" ref="U81:U99" si="6">S81+T81</f>
        <v>0</v>
      </c>
      <c r="V81" s="180"/>
      <c r="W81" s="135"/>
      <c r="X81" s="181"/>
      <c r="Y81" s="135"/>
      <c r="Z81" s="135"/>
      <c r="AA81" s="135"/>
      <c r="AB81" s="135"/>
      <c r="AC81" s="137"/>
      <c r="AD81" s="135"/>
      <c r="AE81" s="135"/>
      <c r="AF81" s="135"/>
      <c r="AG81" s="135"/>
      <c r="AH81" s="135"/>
      <c r="AI81" s="135"/>
      <c r="AJ81" s="135"/>
      <c r="AK81" s="135"/>
      <c r="AM81" s="496">
        <f t="shared" si="5"/>
        <v>0</v>
      </c>
      <c r="AN81" s="490" t="e">
        <f>IF(assumptions!$B$13='VHFA Use'!$C$84,LOOKUP(1,V81:AB81,$V$5:$AB$5),"N/A")</f>
        <v>#N/A</v>
      </c>
    </row>
    <row r="82" spans="1:40" outlineLevel="1" x14ac:dyDescent="0.2">
      <c r="A82" s="311"/>
      <c r="B82" s="130"/>
      <c r="C82" s="131"/>
      <c r="D82" s="131"/>
      <c r="E82" s="131"/>
      <c r="F82" s="131"/>
      <c r="G82" s="132"/>
      <c r="H82" s="131"/>
      <c r="I82" s="131"/>
      <c r="J82" s="131"/>
      <c r="K82" s="131"/>
      <c r="L82" s="442"/>
      <c r="M82" s="442"/>
      <c r="N82" s="442"/>
      <c r="O82" s="442"/>
      <c r="P82" s="133"/>
      <c r="Q82" s="134"/>
      <c r="R82" s="135"/>
      <c r="S82" s="136">
        <v>0</v>
      </c>
      <c r="T82" s="136">
        <v>0</v>
      </c>
      <c r="U82" s="505">
        <f t="shared" si="6"/>
        <v>0</v>
      </c>
      <c r="V82" s="180"/>
      <c r="W82" s="135"/>
      <c r="X82" s="181"/>
      <c r="Y82" s="135"/>
      <c r="Z82" s="135"/>
      <c r="AA82" s="135"/>
      <c r="AB82" s="135"/>
      <c r="AC82" s="137"/>
      <c r="AD82" s="135"/>
      <c r="AE82" s="135"/>
      <c r="AF82" s="135"/>
      <c r="AG82" s="135"/>
      <c r="AH82" s="135"/>
      <c r="AI82" s="135"/>
      <c r="AJ82" s="135"/>
      <c r="AK82" s="135"/>
      <c r="AM82" s="496">
        <f t="shared" si="5"/>
        <v>0</v>
      </c>
      <c r="AN82" s="490" t="e">
        <f>IF(assumptions!$B$13='VHFA Use'!$C$84,LOOKUP(1,V82:AB82,$V$5:$AB$5),"N/A")</f>
        <v>#N/A</v>
      </c>
    </row>
    <row r="83" spans="1:40" outlineLevel="1" x14ac:dyDescent="0.2">
      <c r="A83" s="311"/>
      <c r="B83" s="130"/>
      <c r="C83" s="131"/>
      <c r="D83" s="131"/>
      <c r="E83" s="131"/>
      <c r="F83" s="131"/>
      <c r="G83" s="132"/>
      <c r="H83" s="131"/>
      <c r="I83" s="131"/>
      <c r="J83" s="131"/>
      <c r="K83" s="131"/>
      <c r="L83" s="442"/>
      <c r="M83" s="442"/>
      <c r="N83" s="442"/>
      <c r="O83" s="442"/>
      <c r="P83" s="133"/>
      <c r="Q83" s="134"/>
      <c r="R83" s="135"/>
      <c r="S83" s="136">
        <v>0</v>
      </c>
      <c r="T83" s="136">
        <v>0</v>
      </c>
      <c r="U83" s="505">
        <f t="shared" si="6"/>
        <v>0</v>
      </c>
      <c r="V83" s="180"/>
      <c r="W83" s="135"/>
      <c r="X83" s="181"/>
      <c r="Y83" s="135"/>
      <c r="Z83" s="135"/>
      <c r="AA83" s="135"/>
      <c r="AB83" s="135"/>
      <c r="AC83" s="137"/>
      <c r="AD83" s="135"/>
      <c r="AE83" s="135"/>
      <c r="AF83" s="135"/>
      <c r="AG83" s="135"/>
      <c r="AH83" s="135"/>
      <c r="AI83" s="135"/>
      <c r="AJ83" s="135"/>
      <c r="AK83" s="135"/>
      <c r="AM83" s="496">
        <f t="shared" si="5"/>
        <v>0</v>
      </c>
      <c r="AN83" s="490" t="e">
        <f>IF(assumptions!$B$13='VHFA Use'!$C$84,LOOKUP(1,V83:AB83,$V$5:$AB$5),"N/A")</f>
        <v>#N/A</v>
      </c>
    </row>
    <row r="84" spans="1:40" outlineLevel="1" x14ac:dyDescent="0.2">
      <c r="A84" s="311"/>
      <c r="B84" s="130"/>
      <c r="C84" s="131"/>
      <c r="D84" s="131"/>
      <c r="E84" s="131"/>
      <c r="F84" s="131"/>
      <c r="G84" s="132"/>
      <c r="H84" s="131"/>
      <c r="I84" s="131"/>
      <c r="J84" s="131"/>
      <c r="K84" s="131"/>
      <c r="L84" s="442"/>
      <c r="M84" s="442"/>
      <c r="N84" s="442"/>
      <c r="O84" s="442"/>
      <c r="P84" s="133"/>
      <c r="Q84" s="134"/>
      <c r="R84" s="135"/>
      <c r="S84" s="136">
        <v>0</v>
      </c>
      <c r="T84" s="136">
        <v>0</v>
      </c>
      <c r="U84" s="505">
        <f t="shared" si="6"/>
        <v>0</v>
      </c>
      <c r="V84" s="180"/>
      <c r="W84" s="135"/>
      <c r="X84" s="181"/>
      <c r="Y84" s="135"/>
      <c r="Z84" s="135"/>
      <c r="AA84" s="135"/>
      <c r="AB84" s="135"/>
      <c r="AC84" s="137"/>
      <c r="AD84" s="135"/>
      <c r="AE84" s="135"/>
      <c r="AF84" s="135"/>
      <c r="AG84" s="135"/>
      <c r="AH84" s="135"/>
      <c r="AI84" s="135"/>
      <c r="AJ84" s="135"/>
      <c r="AK84" s="135"/>
      <c r="AM84" s="496">
        <f t="shared" si="5"/>
        <v>0</v>
      </c>
      <c r="AN84" s="490" t="e">
        <f>IF(assumptions!$B$13='VHFA Use'!$C$84,LOOKUP(1,V84:AB84,$V$5:$AB$5),"N/A")</f>
        <v>#N/A</v>
      </c>
    </row>
    <row r="85" spans="1:40" outlineLevel="1" x14ac:dyDescent="0.2">
      <c r="A85" s="311"/>
      <c r="B85" s="130"/>
      <c r="C85" s="131"/>
      <c r="D85" s="131"/>
      <c r="E85" s="131"/>
      <c r="F85" s="131"/>
      <c r="G85" s="132"/>
      <c r="H85" s="131"/>
      <c r="I85" s="131"/>
      <c r="J85" s="131"/>
      <c r="K85" s="131"/>
      <c r="L85" s="442"/>
      <c r="M85" s="442"/>
      <c r="N85" s="442"/>
      <c r="O85" s="442"/>
      <c r="P85" s="133"/>
      <c r="Q85" s="134"/>
      <c r="R85" s="135"/>
      <c r="S85" s="136">
        <v>0</v>
      </c>
      <c r="T85" s="136">
        <v>0</v>
      </c>
      <c r="U85" s="505">
        <f t="shared" si="6"/>
        <v>0</v>
      </c>
      <c r="V85" s="180"/>
      <c r="W85" s="135"/>
      <c r="X85" s="181"/>
      <c r="Y85" s="135"/>
      <c r="Z85" s="135"/>
      <c r="AA85" s="135"/>
      <c r="AB85" s="135"/>
      <c r="AC85" s="137"/>
      <c r="AD85" s="135"/>
      <c r="AE85" s="135"/>
      <c r="AF85" s="135"/>
      <c r="AG85" s="135"/>
      <c r="AH85" s="135"/>
      <c r="AI85" s="135"/>
      <c r="AJ85" s="135"/>
      <c r="AK85" s="135"/>
      <c r="AM85" s="496">
        <f t="shared" si="5"/>
        <v>0</v>
      </c>
      <c r="AN85" s="490" t="e">
        <f>IF(assumptions!$B$13='VHFA Use'!$C$84,LOOKUP(1,V85:AB85,$V$5:$AB$5),"N/A")</f>
        <v>#N/A</v>
      </c>
    </row>
    <row r="86" spans="1:40" outlineLevel="1" x14ac:dyDescent="0.2">
      <c r="A86" s="311"/>
      <c r="B86" s="130"/>
      <c r="C86" s="131"/>
      <c r="D86" s="131"/>
      <c r="E86" s="131"/>
      <c r="F86" s="131"/>
      <c r="G86" s="132"/>
      <c r="H86" s="131"/>
      <c r="I86" s="131"/>
      <c r="J86" s="131"/>
      <c r="K86" s="131"/>
      <c r="L86" s="442"/>
      <c r="M86" s="442"/>
      <c r="N86" s="442"/>
      <c r="O86" s="442"/>
      <c r="P86" s="133"/>
      <c r="Q86" s="134"/>
      <c r="R86" s="135"/>
      <c r="S86" s="136">
        <v>0</v>
      </c>
      <c r="T86" s="136">
        <v>0</v>
      </c>
      <c r="U86" s="505">
        <f t="shared" si="6"/>
        <v>0</v>
      </c>
      <c r="V86" s="180"/>
      <c r="W86" s="135"/>
      <c r="X86" s="181"/>
      <c r="Y86" s="135"/>
      <c r="Z86" s="135"/>
      <c r="AA86" s="135"/>
      <c r="AB86" s="135"/>
      <c r="AC86" s="137"/>
      <c r="AD86" s="135"/>
      <c r="AE86" s="135"/>
      <c r="AF86" s="135"/>
      <c r="AG86" s="135"/>
      <c r="AH86" s="135"/>
      <c r="AI86" s="135"/>
      <c r="AJ86" s="135"/>
      <c r="AK86" s="135"/>
      <c r="AM86" s="496">
        <f t="shared" si="5"/>
        <v>0</v>
      </c>
      <c r="AN86" s="490" t="e">
        <f>IF(assumptions!$B$13='VHFA Use'!$C$84,LOOKUP(1,V86:AB86,$V$5:$AB$5),"N/A")</f>
        <v>#N/A</v>
      </c>
    </row>
    <row r="87" spans="1:40" outlineLevel="1" x14ac:dyDescent="0.2">
      <c r="A87" s="311"/>
      <c r="B87" s="138"/>
      <c r="C87" s="131"/>
      <c r="D87" s="131"/>
      <c r="E87" s="131"/>
      <c r="F87" s="131"/>
      <c r="G87" s="132"/>
      <c r="H87" s="131"/>
      <c r="I87" s="131"/>
      <c r="J87" s="131"/>
      <c r="K87" s="131"/>
      <c r="L87" s="442"/>
      <c r="M87" s="442"/>
      <c r="N87" s="442"/>
      <c r="O87" s="442"/>
      <c r="P87" s="133"/>
      <c r="Q87" s="134"/>
      <c r="R87" s="135"/>
      <c r="S87" s="136">
        <v>0</v>
      </c>
      <c r="T87" s="136">
        <v>0</v>
      </c>
      <c r="U87" s="505">
        <f t="shared" si="6"/>
        <v>0</v>
      </c>
      <c r="V87" s="180"/>
      <c r="W87" s="135"/>
      <c r="X87" s="181"/>
      <c r="Y87" s="135"/>
      <c r="Z87" s="135"/>
      <c r="AA87" s="135"/>
      <c r="AB87" s="135"/>
      <c r="AC87" s="137"/>
      <c r="AD87" s="135"/>
      <c r="AE87" s="135"/>
      <c r="AF87" s="135"/>
      <c r="AG87" s="135"/>
      <c r="AH87" s="135"/>
      <c r="AI87" s="135"/>
      <c r="AJ87" s="135"/>
      <c r="AK87" s="135"/>
      <c r="AM87" s="496">
        <f t="shared" si="5"/>
        <v>0</v>
      </c>
      <c r="AN87" s="490" t="e">
        <f>IF(assumptions!$B$13='VHFA Use'!$C$84,LOOKUP(1,V87:AB87,$V$5:$AB$5),"N/A")</f>
        <v>#N/A</v>
      </c>
    </row>
    <row r="88" spans="1:40" outlineLevel="1" x14ac:dyDescent="0.2">
      <c r="A88" s="311"/>
      <c r="B88" s="138"/>
      <c r="C88" s="131"/>
      <c r="D88" s="131"/>
      <c r="E88" s="131"/>
      <c r="F88" s="131"/>
      <c r="G88" s="132"/>
      <c r="H88" s="131"/>
      <c r="I88" s="131"/>
      <c r="J88" s="131"/>
      <c r="K88" s="131"/>
      <c r="L88" s="442"/>
      <c r="M88" s="442"/>
      <c r="N88" s="442"/>
      <c r="O88" s="442"/>
      <c r="P88" s="133"/>
      <c r="Q88" s="134"/>
      <c r="R88" s="135"/>
      <c r="S88" s="136">
        <v>0</v>
      </c>
      <c r="T88" s="136">
        <v>0</v>
      </c>
      <c r="U88" s="505">
        <f t="shared" si="6"/>
        <v>0</v>
      </c>
      <c r="V88" s="180"/>
      <c r="W88" s="135"/>
      <c r="X88" s="181"/>
      <c r="Y88" s="135"/>
      <c r="Z88" s="135"/>
      <c r="AA88" s="135"/>
      <c r="AB88" s="135"/>
      <c r="AC88" s="137"/>
      <c r="AD88" s="135"/>
      <c r="AE88" s="135"/>
      <c r="AF88" s="135"/>
      <c r="AG88" s="135"/>
      <c r="AH88" s="135"/>
      <c r="AI88" s="135"/>
      <c r="AJ88" s="135"/>
      <c r="AK88" s="135"/>
      <c r="AM88" s="496">
        <f t="shared" si="5"/>
        <v>0</v>
      </c>
      <c r="AN88" s="490" t="e">
        <f>IF(assumptions!$B$13='VHFA Use'!$C$84,LOOKUP(1,V88:AB88,$V$5:$AB$5),"N/A")</f>
        <v>#N/A</v>
      </c>
    </row>
    <row r="89" spans="1:40" outlineLevel="1" x14ac:dyDescent="0.2">
      <c r="A89" s="311"/>
      <c r="B89" s="138"/>
      <c r="C89" s="131"/>
      <c r="D89" s="131"/>
      <c r="E89" s="131"/>
      <c r="F89" s="131"/>
      <c r="G89" s="132"/>
      <c r="H89" s="131"/>
      <c r="I89" s="131"/>
      <c r="J89" s="131"/>
      <c r="K89" s="131"/>
      <c r="L89" s="442"/>
      <c r="M89" s="442"/>
      <c r="N89" s="442"/>
      <c r="O89" s="442"/>
      <c r="P89" s="133"/>
      <c r="Q89" s="134"/>
      <c r="R89" s="135"/>
      <c r="S89" s="136">
        <v>0</v>
      </c>
      <c r="T89" s="136">
        <v>0</v>
      </c>
      <c r="U89" s="505">
        <f t="shared" si="6"/>
        <v>0</v>
      </c>
      <c r="V89" s="180"/>
      <c r="W89" s="135"/>
      <c r="X89" s="181"/>
      <c r="Y89" s="135"/>
      <c r="Z89" s="135"/>
      <c r="AA89" s="135"/>
      <c r="AB89" s="135"/>
      <c r="AC89" s="137"/>
      <c r="AD89" s="135"/>
      <c r="AE89" s="135"/>
      <c r="AF89" s="135"/>
      <c r="AG89" s="135"/>
      <c r="AH89" s="135"/>
      <c r="AI89" s="135"/>
      <c r="AJ89" s="135"/>
      <c r="AK89" s="135"/>
      <c r="AM89" s="496">
        <f t="shared" si="5"/>
        <v>0</v>
      </c>
      <c r="AN89" s="490" t="e">
        <f>IF(assumptions!$B$13='VHFA Use'!$C$84,LOOKUP(1,V89:AB89,$V$5:$AB$5),"N/A")</f>
        <v>#N/A</v>
      </c>
    </row>
    <row r="90" spans="1:40" outlineLevel="1" x14ac:dyDescent="0.2">
      <c r="A90" s="311"/>
      <c r="B90" s="138"/>
      <c r="C90" s="131"/>
      <c r="D90" s="131"/>
      <c r="E90" s="131"/>
      <c r="F90" s="131"/>
      <c r="G90" s="132"/>
      <c r="H90" s="131"/>
      <c r="I90" s="131"/>
      <c r="J90" s="131"/>
      <c r="K90" s="131"/>
      <c r="L90" s="442"/>
      <c r="M90" s="442"/>
      <c r="N90" s="442"/>
      <c r="O90" s="442"/>
      <c r="P90" s="133"/>
      <c r="Q90" s="134"/>
      <c r="R90" s="135"/>
      <c r="S90" s="136">
        <v>0</v>
      </c>
      <c r="T90" s="136">
        <v>0</v>
      </c>
      <c r="U90" s="505">
        <f t="shared" si="6"/>
        <v>0</v>
      </c>
      <c r="V90" s="180"/>
      <c r="W90" s="135"/>
      <c r="X90" s="181"/>
      <c r="Y90" s="135"/>
      <c r="Z90" s="135"/>
      <c r="AA90" s="135"/>
      <c r="AB90" s="135"/>
      <c r="AC90" s="137"/>
      <c r="AD90" s="135"/>
      <c r="AE90" s="135"/>
      <c r="AF90" s="135"/>
      <c r="AG90" s="135"/>
      <c r="AH90" s="135"/>
      <c r="AI90" s="135"/>
      <c r="AJ90" s="135"/>
      <c r="AK90" s="135"/>
      <c r="AM90" s="496">
        <f t="shared" si="5"/>
        <v>0</v>
      </c>
      <c r="AN90" s="490" t="e">
        <f>IF(assumptions!$B$13='VHFA Use'!$C$84,LOOKUP(1,V90:AB90,$V$5:$AB$5),"N/A")</f>
        <v>#N/A</v>
      </c>
    </row>
    <row r="91" spans="1:40" outlineLevel="1" x14ac:dyDescent="0.2">
      <c r="A91" s="311"/>
      <c r="B91" s="138"/>
      <c r="C91" s="131"/>
      <c r="D91" s="131"/>
      <c r="E91" s="131"/>
      <c r="F91" s="131"/>
      <c r="G91" s="132"/>
      <c r="H91" s="131"/>
      <c r="I91" s="131"/>
      <c r="J91" s="131"/>
      <c r="K91" s="131"/>
      <c r="L91" s="442"/>
      <c r="M91" s="442"/>
      <c r="N91" s="442"/>
      <c r="O91" s="442"/>
      <c r="P91" s="133"/>
      <c r="Q91" s="134"/>
      <c r="R91" s="135"/>
      <c r="S91" s="136">
        <v>0</v>
      </c>
      <c r="T91" s="136">
        <v>0</v>
      </c>
      <c r="U91" s="505">
        <f t="shared" si="6"/>
        <v>0</v>
      </c>
      <c r="V91" s="180"/>
      <c r="W91" s="135"/>
      <c r="X91" s="181"/>
      <c r="Y91" s="135"/>
      <c r="Z91" s="135"/>
      <c r="AA91" s="135"/>
      <c r="AB91" s="135"/>
      <c r="AC91" s="137"/>
      <c r="AD91" s="135"/>
      <c r="AE91" s="135"/>
      <c r="AF91" s="135"/>
      <c r="AG91" s="135"/>
      <c r="AH91" s="135"/>
      <c r="AI91" s="135"/>
      <c r="AJ91" s="135"/>
      <c r="AK91" s="135"/>
      <c r="AM91" s="496">
        <f t="shared" si="5"/>
        <v>0</v>
      </c>
      <c r="AN91" s="490" t="e">
        <f>IF(assumptions!$B$13='VHFA Use'!$C$84,LOOKUP(1,V91:AB91,$V$5:$AB$5),"N/A")</f>
        <v>#N/A</v>
      </c>
    </row>
    <row r="92" spans="1:40" outlineLevel="1" x14ac:dyDescent="0.2">
      <c r="A92" s="311"/>
      <c r="B92" s="138"/>
      <c r="C92" s="131"/>
      <c r="D92" s="131"/>
      <c r="E92" s="131"/>
      <c r="F92" s="131"/>
      <c r="G92" s="132"/>
      <c r="H92" s="131"/>
      <c r="I92" s="131"/>
      <c r="J92" s="131"/>
      <c r="K92" s="131"/>
      <c r="L92" s="442"/>
      <c r="M92" s="442"/>
      <c r="N92" s="442"/>
      <c r="O92" s="442"/>
      <c r="P92" s="133"/>
      <c r="Q92" s="134"/>
      <c r="R92" s="135"/>
      <c r="S92" s="136">
        <v>0</v>
      </c>
      <c r="T92" s="136">
        <v>0</v>
      </c>
      <c r="U92" s="505">
        <f t="shared" si="6"/>
        <v>0</v>
      </c>
      <c r="V92" s="180"/>
      <c r="W92" s="135"/>
      <c r="X92" s="181"/>
      <c r="Y92" s="135"/>
      <c r="Z92" s="135"/>
      <c r="AA92" s="135"/>
      <c r="AB92" s="135"/>
      <c r="AC92" s="137"/>
      <c r="AD92" s="135"/>
      <c r="AE92" s="135"/>
      <c r="AF92" s="135"/>
      <c r="AG92" s="135"/>
      <c r="AH92" s="135"/>
      <c r="AI92" s="135"/>
      <c r="AJ92" s="135"/>
      <c r="AK92" s="135"/>
      <c r="AM92" s="496">
        <f t="shared" si="5"/>
        <v>0</v>
      </c>
      <c r="AN92" s="490" t="e">
        <f>IF(assumptions!$B$13='VHFA Use'!$C$84,LOOKUP(1,V92:AB92,$V$5:$AB$5),"N/A")</f>
        <v>#N/A</v>
      </c>
    </row>
    <row r="93" spans="1:40" outlineLevel="1" x14ac:dyDescent="0.2">
      <c r="A93" s="311"/>
      <c r="B93" s="138"/>
      <c r="C93" s="131"/>
      <c r="D93" s="131"/>
      <c r="E93" s="131"/>
      <c r="F93" s="131"/>
      <c r="G93" s="132"/>
      <c r="H93" s="131"/>
      <c r="I93" s="131"/>
      <c r="J93" s="131"/>
      <c r="K93" s="131"/>
      <c r="L93" s="442"/>
      <c r="M93" s="442"/>
      <c r="N93" s="442"/>
      <c r="O93" s="442"/>
      <c r="P93" s="133"/>
      <c r="Q93" s="134"/>
      <c r="R93" s="135"/>
      <c r="S93" s="136">
        <v>0</v>
      </c>
      <c r="T93" s="136">
        <v>0</v>
      </c>
      <c r="U93" s="505">
        <f t="shared" si="6"/>
        <v>0</v>
      </c>
      <c r="V93" s="180"/>
      <c r="W93" s="135"/>
      <c r="X93" s="181"/>
      <c r="Y93" s="135"/>
      <c r="Z93" s="135"/>
      <c r="AA93" s="135"/>
      <c r="AB93" s="135"/>
      <c r="AC93" s="137"/>
      <c r="AD93" s="135"/>
      <c r="AE93" s="135"/>
      <c r="AF93" s="135"/>
      <c r="AG93" s="135"/>
      <c r="AH93" s="135"/>
      <c r="AI93" s="135"/>
      <c r="AJ93" s="135"/>
      <c r="AK93" s="135"/>
      <c r="AM93" s="496">
        <f t="shared" si="5"/>
        <v>0</v>
      </c>
      <c r="AN93" s="490" t="e">
        <f>IF(assumptions!$B$13='VHFA Use'!$C$84,LOOKUP(1,V93:AB93,$V$5:$AB$5),"N/A")</f>
        <v>#N/A</v>
      </c>
    </row>
    <row r="94" spans="1:40" outlineLevel="1" x14ac:dyDescent="0.2">
      <c r="A94" s="311"/>
      <c r="B94" s="138"/>
      <c r="C94" s="131"/>
      <c r="D94" s="131"/>
      <c r="E94" s="131"/>
      <c r="F94" s="131"/>
      <c r="G94" s="132"/>
      <c r="H94" s="131"/>
      <c r="I94" s="131"/>
      <c r="J94" s="131"/>
      <c r="K94" s="131"/>
      <c r="L94" s="442"/>
      <c r="M94" s="442"/>
      <c r="N94" s="442"/>
      <c r="O94" s="442"/>
      <c r="P94" s="133"/>
      <c r="Q94" s="134"/>
      <c r="R94" s="135"/>
      <c r="S94" s="136">
        <v>0</v>
      </c>
      <c r="T94" s="136">
        <v>0</v>
      </c>
      <c r="U94" s="505">
        <f t="shared" si="6"/>
        <v>0</v>
      </c>
      <c r="V94" s="180"/>
      <c r="W94" s="135"/>
      <c r="X94" s="181"/>
      <c r="Y94" s="135"/>
      <c r="Z94" s="135"/>
      <c r="AA94" s="135"/>
      <c r="AB94" s="135"/>
      <c r="AC94" s="137"/>
      <c r="AD94" s="135"/>
      <c r="AE94" s="135"/>
      <c r="AF94" s="135"/>
      <c r="AG94" s="135"/>
      <c r="AH94" s="135"/>
      <c r="AI94" s="135"/>
      <c r="AJ94" s="135"/>
      <c r="AK94" s="135"/>
      <c r="AM94" s="496">
        <f t="shared" si="5"/>
        <v>0</v>
      </c>
      <c r="AN94" s="490" t="e">
        <f>IF(assumptions!$B$13='VHFA Use'!$C$84,LOOKUP(1,V94:AB94,$V$5:$AB$5),"N/A")</f>
        <v>#N/A</v>
      </c>
    </row>
    <row r="95" spans="1:40" outlineLevel="1" x14ac:dyDescent="0.2">
      <c r="A95" s="311"/>
      <c r="B95" s="138"/>
      <c r="C95" s="131"/>
      <c r="D95" s="131"/>
      <c r="E95" s="131"/>
      <c r="F95" s="131"/>
      <c r="G95" s="132"/>
      <c r="H95" s="131"/>
      <c r="I95" s="131"/>
      <c r="J95" s="131"/>
      <c r="K95" s="131"/>
      <c r="L95" s="442"/>
      <c r="M95" s="442"/>
      <c r="N95" s="442"/>
      <c r="O95" s="442"/>
      <c r="P95" s="133"/>
      <c r="Q95" s="134"/>
      <c r="R95" s="135"/>
      <c r="S95" s="136">
        <v>0</v>
      </c>
      <c r="T95" s="136">
        <v>0</v>
      </c>
      <c r="U95" s="505">
        <f t="shared" si="6"/>
        <v>0</v>
      </c>
      <c r="V95" s="180"/>
      <c r="W95" s="135"/>
      <c r="X95" s="181"/>
      <c r="Y95" s="135"/>
      <c r="Z95" s="135"/>
      <c r="AA95" s="135"/>
      <c r="AB95" s="135"/>
      <c r="AC95" s="137"/>
      <c r="AD95" s="135"/>
      <c r="AE95" s="135"/>
      <c r="AF95" s="135"/>
      <c r="AG95" s="135"/>
      <c r="AH95" s="135"/>
      <c r="AI95" s="135"/>
      <c r="AJ95" s="135"/>
      <c r="AK95" s="135"/>
      <c r="AM95" s="496">
        <f t="shared" si="5"/>
        <v>0</v>
      </c>
      <c r="AN95" s="490" t="e">
        <f>IF(assumptions!$B$13='VHFA Use'!$C$84,LOOKUP(1,V95:AB95,$V$5:$AB$5),"N/A")</f>
        <v>#N/A</v>
      </c>
    </row>
    <row r="96" spans="1:40" outlineLevel="1" x14ac:dyDescent="0.2">
      <c r="A96" s="311"/>
      <c r="B96" s="138"/>
      <c r="C96" s="131"/>
      <c r="D96" s="131"/>
      <c r="E96" s="131"/>
      <c r="F96" s="131"/>
      <c r="G96" s="132"/>
      <c r="H96" s="131"/>
      <c r="I96" s="131"/>
      <c r="J96" s="131"/>
      <c r="K96" s="131"/>
      <c r="L96" s="442"/>
      <c r="M96" s="442"/>
      <c r="N96" s="442"/>
      <c r="O96" s="442"/>
      <c r="P96" s="133"/>
      <c r="Q96" s="134"/>
      <c r="R96" s="135"/>
      <c r="S96" s="136">
        <v>0</v>
      </c>
      <c r="T96" s="136">
        <v>0</v>
      </c>
      <c r="U96" s="505">
        <f t="shared" si="6"/>
        <v>0</v>
      </c>
      <c r="V96" s="180"/>
      <c r="W96" s="135"/>
      <c r="X96" s="181"/>
      <c r="Y96" s="135"/>
      <c r="Z96" s="135"/>
      <c r="AA96" s="135"/>
      <c r="AB96" s="135"/>
      <c r="AC96" s="137"/>
      <c r="AD96" s="135"/>
      <c r="AE96" s="135"/>
      <c r="AF96" s="135"/>
      <c r="AG96" s="135"/>
      <c r="AH96" s="135"/>
      <c r="AI96" s="135"/>
      <c r="AJ96" s="135"/>
      <c r="AK96" s="135"/>
      <c r="AM96" s="496">
        <f t="shared" si="5"/>
        <v>0</v>
      </c>
      <c r="AN96" s="490" t="e">
        <f>IF(assumptions!$B$13='VHFA Use'!$C$84,LOOKUP(1,V96:AB96,$V$5:$AB$5),"N/A")</f>
        <v>#N/A</v>
      </c>
    </row>
    <row r="97" spans="1:40" outlineLevel="1" x14ac:dyDescent="0.2">
      <c r="A97" s="311"/>
      <c r="B97" s="138"/>
      <c r="C97" s="131"/>
      <c r="D97" s="131"/>
      <c r="E97" s="131"/>
      <c r="F97" s="131"/>
      <c r="G97" s="132"/>
      <c r="H97" s="131"/>
      <c r="I97" s="131"/>
      <c r="J97" s="131"/>
      <c r="K97" s="131"/>
      <c r="L97" s="442"/>
      <c r="M97" s="442"/>
      <c r="N97" s="442"/>
      <c r="O97" s="442"/>
      <c r="P97" s="133"/>
      <c r="Q97" s="134"/>
      <c r="R97" s="135"/>
      <c r="S97" s="136">
        <v>0</v>
      </c>
      <c r="T97" s="136">
        <v>0</v>
      </c>
      <c r="U97" s="505">
        <f t="shared" si="6"/>
        <v>0</v>
      </c>
      <c r="V97" s="180"/>
      <c r="W97" s="135"/>
      <c r="X97" s="181"/>
      <c r="Y97" s="135"/>
      <c r="Z97" s="135"/>
      <c r="AA97" s="135"/>
      <c r="AB97" s="135"/>
      <c r="AC97" s="137"/>
      <c r="AD97" s="135"/>
      <c r="AE97" s="135"/>
      <c r="AF97" s="135"/>
      <c r="AG97" s="135"/>
      <c r="AH97" s="135"/>
      <c r="AI97" s="135"/>
      <c r="AJ97" s="135"/>
      <c r="AK97" s="135"/>
      <c r="AM97" s="496">
        <f t="shared" si="5"/>
        <v>0</v>
      </c>
      <c r="AN97" s="490" t="e">
        <f>IF(assumptions!$B$13='VHFA Use'!$C$84,LOOKUP(1,V97:AB97,$V$5:$AB$5),"N/A")</f>
        <v>#N/A</v>
      </c>
    </row>
    <row r="98" spans="1:40" outlineLevel="1" x14ac:dyDescent="0.2">
      <c r="A98" s="311"/>
      <c r="B98" s="138"/>
      <c r="C98" s="131"/>
      <c r="D98" s="131"/>
      <c r="E98" s="131"/>
      <c r="F98" s="131"/>
      <c r="G98" s="132"/>
      <c r="H98" s="131"/>
      <c r="I98" s="131"/>
      <c r="J98" s="131"/>
      <c r="K98" s="131"/>
      <c r="L98" s="442"/>
      <c r="M98" s="442"/>
      <c r="N98" s="442"/>
      <c r="O98" s="442"/>
      <c r="P98" s="133"/>
      <c r="Q98" s="134"/>
      <c r="R98" s="135"/>
      <c r="S98" s="136">
        <v>0</v>
      </c>
      <c r="T98" s="136">
        <v>0</v>
      </c>
      <c r="U98" s="505">
        <f t="shared" si="6"/>
        <v>0</v>
      </c>
      <c r="V98" s="180"/>
      <c r="W98" s="135"/>
      <c r="X98" s="181"/>
      <c r="Y98" s="135"/>
      <c r="Z98" s="135"/>
      <c r="AA98" s="135"/>
      <c r="AB98" s="135"/>
      <c r="AC98" s="137"/>
      <c r="AD98" s="135"/>
      <c r="AE98" s="135"/>
      <c r="AF98" s="135"/>
      <c r="AG98" s="135"/>
      <c r="AH98" s="135"/>
      <c r="AI98" s="135"/>
      <c r="AJ98" s="135"/>
      <c r="AK98" s="135"/>
      <c r="AM98" s="496">
        <f t="shared" si="5"/>
        <v>0</v>
      </c>
      <c r="AN98" s="490" t="e">
        <f>IF(assumptions!$B$13='VHFA Use'!$C$84,LOOKUP(1,V98:AB98,$V$5:$AB$5),"N/A")</f>
        <v>#N/A</v>
      </c>
    </row>
    <row r="99" spans="1:40" outlineLevel="1" x14ac:dyDescent="0.2">
      <c r="A99" s="311"/>
      <c r="B99" s="138"/>
      <c r="C99" s="131"/>
      <c r="D99" s="131"/>
      <c r="E99" s="131"/>
      <c r="F99" s="131"/>
      <c r="G99" s="132"/>
      <c r="H99" s="131"/>
      <c r="I99" s="131"/>
      <c r="J99" s="131"/>
      <c r="K99" s="131"/>
      <c r="L99" s="442"/>
      <c r="M99" s="442"/>
      <c r="N99" s="442"/>
      <c r="O99" s="442"/>
      <c r="P99" s="133"/>
      <c r="Q99" s="134"/>
      <c r="R99" s="135"/>
      <c r="S99" s="136">
        <v>0</v>
      </c>
      <c r="T99" s="136">
        <v>0</v>
      </c>
      <c r="U99" s="505">
        <f t="shared" si="6"/>
        <v>0</v>
      </c>
      <c r="V99" s="180"/>
      <c r="W99" s="135"/>
      <c r="X99" s="181"/>
      <c r="Y99" s="135"/>
      <c r="Z99" s="135"/>
      <c r="AA99" s="135"/>
      <c r="AB99" s="135"/>
      <c r="AC99" s="137"/>
      <c r="AD99" s="135"/>
      <c r="AE99" s="135"/>
      <c r="AF99" s="135"/>
      <c r="AG99" s="135"/>
      <c r="AH99" s="135"/>
      <c r="AI99" s="135"/>
      <c r="AJ99" s="135"/>
      <c r="AK99" s="135"/>
      <c r="AM99" s="496">
        <f t="shared" si="5"/>
        <v>0</v>
      </c>
      <c r="AN99" s="490" t="e">
        <f>IF(assumptions!$B$13='VHFA Use'!$C$84,LOOKUP(1,V99:AB99,$V$5:$AB$5),"N/A")</f>
        <v>#N/A</v>
      </c>
    </row>
    <row r="100" spans="1:40" x14ac:dyDescent="0.2">
      <c r="A100" s="139" t="s">
        <v>261</v>
      </c>
      <c r="B100" s="140"/>
      <c r="C100" s="139"/>
      <c r="D100" s="135"/>
      <c r="E100" s="135"/>
      <c r="F100" s="135"/>
      <c r="G100" s="141"/>
      <c r="H100" s="135"/>
      <c r="I100" s="135"/>
      <c r="J100" s="135"/>
      <c r="K100" s="135"/>
      <c r="L100" s="443"/>
      <c r="M100" s="443"/>
      <c r="N100" s="443"/>
      <c r="O100" s="443"/>
      <c r="P100" s="137"/>
      <c r="Q100" s="134"/>
      <c r="R100" s="135"/>
      <c r="S100" s="136">
        <v>0</v>
      </c>
      <c r="T100" s="136">
        <v>0</v>
      </c>
      <c r="U100" s="505">
        <f>S100+T100</f>
        <v>0</v>
      </c>
      <c r="V100" s="180"/>
      <c r="W100" s="135"/>
      <c r="X100" s="181"/>
      <c r="Y100" s="135"/>
      <c r="Z100" s="135"/>
      <c r="AA100" s="135"/>
      <c r="AB100" s="135"/>
      <c r="AC100" s="137"/>
      <c r="AD100" s="135"/>
      <c r="AE100" s="135"/>
      <c r="AF100" s="135"/>
      <c r="AG100" s="135"/>
      <c r="AH100" s="135"/>
      <c r="AI100" s="135"/>
      <c r="AJ100" s="135"/>
      <c r="AK100" s="135"/>
      <c r="AM100" s="497"/>
      <c r="AN100" s="294"/>
    </row>
    <row r="101" spans="1:40" s="25" customFormat="1" ht="57" customHeight="1" x14ac:dyDescent="0.25">
      <c r="A101" s="506" t="s">
        <v>262</v>
      </c>
      <c r="B101" s="507">
        <f>COUNTA(B6:B99)</f>
        <v>0</v>
      </c>
      <c r="C101" s="508">
        <f t="shared" ref="C101:K101" si="7">SUM(C6:C99)</f>
        <v>0</v>
      </c>
      <c r="D101" s="508">
        <f t="shared" si="7"/>
        <v>0</v>
      </c>
      <c r="E101" s="508">
        <f t="shared" si="7"/>
        <v>0</v>
      </c>
      <c r="F101" s="508">
        <f t="shared" si="7"/>
        <v>0</v>
      </c>
      <c r="G101" s="508">
        <f t="shared" si="7"/>
        <v>0</v>
      </c>
      <c r="H101" s="508">
        <f t="shared" si="7"/>
        <v>0</v>
      </c>
      <c r="I101" s="508">
        <f t="shared" si="7"/>
        <v>0</v>
      </c>
      <c r="J101" s="508"/>
      <c r="K101" s="508">
        <f t="shared" si="7"/>
        <v>0</v>
      </c>
      <c r="L101" s="508">
        <f t="shared" ref="L101" si="8">SUM(L6:L99)</f>
        <v>0</v>
      </c>
      <c r="M101" s="508">
        <f>SUM(M6:M99)</f>
        <v>0</v>
      </c>
      <c r="N101" s="508"/>
      <c r="O101" s="508">
        <f>SUM(O6:O99)</f>
        <v>0</v>
      </c>
      <c r="P101" s="508">
        <f>SUM(P6:P99)</f>
        <v>0</v>
      </c>
      <c r="Q101" s="509" t="s">
        <v>263</v>
      </c>
      <c r="R101" s="228">
        <f>SUM(R6:R99)</f>
        <v>0</v>
      </c>
      <c r="S101" s="630" t="s">
        <v>568</v>
      </c>
      <c r="T101" s="523" t="s">
        <v>264</v>
      </c>
      <c r="U101" s="524"/>
      <c r="V101" s="508">
        <f>COUNTIF(V6:V99,"&gt;0")</f>
        <v>0</v>
      </c>
      <c r="W101" s="508">
        <f>COUNTIF(W6:W99,"&gt;0")</f>
        <v>0</v>
      </c>
      <c r="X101" s="508">
        <f t="shared" ref="X101:AK101" si="9">COUNTIF(X6:X99,"&gt;0")</f>
        <v>0</v>
      </c>
      <c r="Y101" s="508">
        <f t="shared" si="9"/>
        <v>0</v>
      </c>
      <c r="Z101" s="508">
        <f t="shared" si="9"/>
        <v>0</v>
      </c>
      <c r="AA101" s="508">
        <f t="shared" si="9"/>
        <v>0</v>
      </c>
      <c r="AB101" s="508">
        <f t="shared" si="9"/>
        <v>0</v>
      </c>
      <c r="AC101" s="508">
        <f t="shared" si="9"/>
        <v>0</v>
      </c>
      <c r="AD101" s="508">
        <f t="shared" si="9"/>
        <v>0</v>
      </c>
      <c r="AE101" s="508">
        <f t="shared" si="9"/>
        <v>0</v>
      </c>
      <c r="AF101" s="508">
        <f t="shared" si="9"/>
        <v>0</v>
      </c>
      <c r="AG101" s="508">
        <f t="shared" si="9"/>
        <v>0</v>
      </c>
      <c r="AH101" s="508">
        <f t="shared" si="9"/>
        <v>0</v>
      </c>
      <c r="AI101" s="508">
        <f>COUNTIF(AI6:AI99,"&gt;0")</f>
        <v>0</v>
      </c>
      <c r="AJ101" s="508">
        <f t="shared" si="9"/>
        <v>0</v>
      </c>
      <c r="AK101" s="508">
        <f t="shared" si="9"/>
        <v>0</v>
      </c>
      <c r="AM101" s="229">
        <f>SUM(AM6:AM100)</f>
        <v>0</v>
      </c>
      <c r="AN101" s="491" t="e">
        <f>IF(assumptions!B13='VHFA Use'!$C$84,AVERAGEIF(AM6:AM99,"&gt;0",AN6:AN99),"N/A")</f>
        <v>#DIV/0!</v>
      </c>
    </row>
    <row r="102" spans="1:40" ht="42.75" customHeight="1" x14ac:dyDescent="0.2">
      <c r="G102" s="525" t="s">
        <v>265</v>
      </c>
      <c r="H102" s="525"/>
      <c r="I102" s="525"/>
      <c r="J102" s="525"/>
      <c r="K102" s="525"/>
      <c r="L102" s="525"/>
      <c r="M102" s="525"/>
      <c r="N102" s="525"/>
      <c r="O102" s="525"/>
      <c r="P102" s="525"/>
      <c r="Q102" s="525"/>
      <c r="R102" s="141"/>
      <c r="AB102" s="26"/>
    </row>
    <row r="103" spans="1:40" ht="27.95" customHeight="1" x14ac:dyDescent="0.25">
      <c r="G103" s="526" t="s">
        <v>266</v>
      </c>
      <c r="H103" s="526"/>
      <c r="I103" s="526"/>
      <c r="J103" s="526"/>
      <c r="K103" s="526"/>
      <c r="L103" s="526"/>
      <c r="M103" s="526"/>
      <c r="N103" s="526"/>
      <c r="O103" s="526"/>
      <c r="P103" s="526"/>
      <c r="Q103" s="526"/>
      <c r="R103" s="104">
        <f>R101+R102</f>
        <v>0</v>
      </c>
    </row>
    <row r="104" spans="1:40" ht="20.45" customHeight="1" x14ac:dyDescent="0.2">
      <c r="G104" s="527" t="s">
        <v>267</v>
      </c>
      <c r="H104" s="527"/>
      <c r="I104" s="527"/>
      <c r="J104" s="527"/>
      <c r="K104" s="527"/>
      <c r="L104" s="527"/>
      <c r="M104" s="527"/>
      <c r="N104" s="527"/>
      <c r="O104" s="527"/>
      <c r="P104" s="527"/>
      <c r="Q104" s="527"/>
      <c r="R104" s="141">
        <v>0</v>
      </c>
    </row>
    <row r="105" spans="1:40" ht="28.15" customHeight="1" x14ac:dyDescent="0.25">
      <c r="G105" s="526" t="s">
        <v>268</v>
      </c>
      <c r="H105" s="526"/>
      <c r="I105" s="526"/>
      <c r="J105" s="526"/>
      <c r="K105" s="526"/>
      <c r="L105" s="526"/>
      <c r="M105" s="526"/>
      <c r="N105" s="526"/>
      <c r="O105" s="526"/>
      <c r="P105" s="526"/>
      <c r="Q105" s="528"/>
      <c r="R105" s="104">
        <f>SUM(R103:R104)</f>
        <v>0</v>
      </c>
    </row>
    <row r="106" spans="1:40" ht="31.35" customHeight="1" x14ac:dyDescent="0.2">
      <c r="G106" s="527" t="s">
        <v>269</v>
      </c>
      <c r="H106" s="527"/>
      <c r="I106" s="527"/>
      <c r="J106" s="527"/>
      <c r="K106" s="527"/>
      <c r="L106" s="527"/>
      <c r="M106" s="527"/>
      <c r="N106" s="527"/>
      <c r="O106" s="527"/>
      <c r="P106" s="527"/>
      <c r="Q106" s="527"/>
      <c r="R106" s="141"/>
    </row>
    <row r="107" spans="1:40" ht="20.45" customHeight="1" x14ac:dyDescent="0.2">
      <c r="G107" s="527" t="s">
        <v>270</v>
      </c>
      <c r="H107" s="527"/>
      <c r="I107" s="527"/>
      <c r="J107" s="527"/>
      <c r="K107" s="527"/>
      <c r="L107" s="527"/>
      <c r="M107" s="527"/>
      <c r="N107" s="527"/>
      <c r="O107" s="527"/>
      <c r="P107" s="527"/>
      <c r="Q107" s="527"/>
      <c r="R107" s="141"/>
    </row>
    <row r="108" spans="1:40" ht="37.15" customHeight="1" x14ac:dyDescent="0.25">
      <c r="G108" s="526" t="s">
        <v>271</v>
      </c>
      <c r="H108" s="526"/>
      <c r="I108" s="526"/>
      <c r="J108" s="526"/>
      <c r="K108" s="526"/>
      <c r="L108" s="526"/>
      <c r="M108" s="526"/>
      <c r="N108" s="526"/>
      <c r="O108" s="526"/>
      <c r="P108" s="526"/>
      <c r="Q108" s="526"/>
      <c r="R108" s="104">
        <f>R103+R104+R106+R107</f>
        <v>0</v>
      </c>
    </row>
    <row r="109" spans="1:40" x14ac:dyDescent="0.2">
      <c r="Q109" s="26"/>
    </row>
    <row r="112" spans="1:40" x14ac:dyDescent="0.2">
      <c r="H112" s="529"/>
      <c r="I112" s="529"/>
      <c r="J112" s="529"/>
      <c r="K112" s="529"/>
      <c r="L112" s="529"/>
      <c r="M112" s="529"/>
      <c r="N112" s="529"/>
      <c r="O112" s="529"/>
      <c r="P112" s="529"/>
      <c r="Q112" s="529"/>
      <c r="R112" s="529"/>
    </row>
    <row r="113" spans="7:18" x14ac:dyDescent="0.2">
      <c r="H113" s="182"/>
      <c r="I113" s="179"/>
      <c r="J113" s="179"/>
      <c r="K113" s="179"/>
      <c r="L113" s="179"/>
      <c r="M113" s="179"/>
      <c r="N113" s="179"/>
      <c r="O113" s="179"/>
      <c r="P113" s="179"/>
      <c r="Q113" s="179"/>
      <c r="R113" s="179"/>
    </row>
    <row r="114" spans="7:18" x14ac:dyDescent="0.2">
      <c r="G114" s="530"/>
    </row>
    <row r="115" spans="7:18" x14ac:dyDescent="0.2">
      <c r="G115" s="530"/>
    </row>
    <row r="116" spans="7:18" x14ac:dyDescent="0.2">
      <c r="G116" s="530"/>
    </row>
    <row r="117" spans="7:18" x14ac:dyDescent="0.2">
      <c r="G117" s="530"/>
    </row>
    <row r="118" spans="7:18" x14ac:dyDescent="0.2">
      <c r="G118" s="530"/>
    </row>
    <row r="119" spans="7:18" x14ac:dyDescent="0.2">
      <c r="I119" s="529"/>
      <c r="J119" s="529"/>
      <c r="K119" s="529"/>
      <c r="L119" s="529"/>
      <c r="M119" s="529"/>
      <c r="N119" s="529"/>
      <c r="O119" s="529"/>
      <c r="P119" s="529"/>
      <c r="Q119" s="529"/>
      <c r="R119" s="529"/>
    </row>
  </sheetData>
  <sheetProtection formatCells="0" formatColumns="0" formatRows="0"/>
  <mergeCells count="38">
    <mergeCell ref="A4:A5"/>
    <mergeCell ref="B4:B5"/>
    <mergeCell ref="D4:D5"/>
    <mergeCell ref="AD3:AK3"/>
    <mergeCell ref="B3:P3"/>
    <mergeCell ref="F4:F5"/>
    <mergeCell ref="G4:G5"/>
    <mergeCell ref="H4:H5"/>
    <mergeCell ref="E4:E5"/>
    <mergeCell ref="I4:I5"/>
    <mergeCell ref="AD4:AK4"/>
    <mergeCell ref="K4:K5"/>
    <mergeCell ref="P4:P5"/>
    <mergeCell ref="Q4:Q5"/>
    <mergeCell ref="R4:R5"/>
    <mergeCell ref="V4:AC4"/>
    <mergeCell ref="Q3:U3"/>
    <mergeCell ref="V3:AC3"/>
    <mergeCell ref="S4:S5"/>
    <mergeCell ref="T4:T5"/>
    <mergeCell ref="U4:U5"/>
    <mergeCell ref="H112:R112"/>
    <mergeCell ref="I119:R119"/>
    <mergeCell ref="G114:G118"/>
    <mergeCell ref="C4:C5"/>
    <mergeCell ref="G108:Q108"/>
    <mergeCell ref="G107:Q107"/>
    <mergeCell ref="L4:L5"/>
    <mergeCell ref="M4:M5"/>
    <mergeCell ref="O4:O5"/>
    <mergeCell ref="N4:N5"/>
    <mergeCell ref="J4:J5"/>
    <mergeCell ref="T101:U101"/>
    <mergeCell ref="G102:Q102"/>
    <mergeCell ref="G103:Q103"/>
    <mergeCell ref="G104:Q104"/>
    <mergeCell ref="G106:Q106"/>
    <mergeCell ref="G105:Q105"/>
  </mergeCells>
  <phoneticPr fontId="0" type="noConversion"/>
  <dataValidations count="1">
    <dataValidation type="whole" allowBlank="1" showInputMessage="1" showErrorMessage="1" error="Please enter a whole number. " sqref="Q6:Q100" xr:uid="{890980E8-F05F-4AC1-BE76-EF2BEB6B66C5}">
      <formula1>0</formula1>
      <formula2>5</formula2>
    </dataValidation>
  </dataValidations>
  <pageMargins left="0.75" right="0.75" top="1" bottom="1" header="0.5" footer="0.5"/>
  <pageSetup scale="47" orientation="landscape" r:id="rId1"/>
  <headerFooter alignWithMargins="0">
    <oddFooter>&amp;L&amp;F
&amp;D&amp;T&amp;R&amp;"Times New Roman,Regular"&amp;8revision date:  8/6/2007</oddFooter>
  </headerFooter>
  <ignoredErrors>
    <ignoredError sqref="V101 W101 AE101 X101:AB101" formulaRange="1"/>
    <ignoredError sqref="AD5 AF5:AK5" numberStoredAsText="1"/>
    <ignoredError sqref="AN100:AN101" evalError="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F306919-5498-4505-BBFC-920791E33F3D}">
          <x14:formula1>
            <xm:f>'rent summary'!$J$4:$J$13</xm:f>
          </x14:formula1>
          <xm:sqref>A6:A99</xm:sqref>
        </x14:dataValidation>
        <x14:dataValidation type="list" allowBlank="1" showInputMessage="1" showErrorMessage="1" xr:uid="{1EDB7778-48C3-4CCA-BDC1-EEB72A772526}">
          <x14:formula1>
            <xm:f>'VHFA Use'!$D$69:$D$70</xm:f>
          </x14:formula1>
          <xm:sqref>C6:P100 V6:AK100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70"/>
  <sheetViews>
    <sheetView zoomScaleNormal="100" workbookViewId="0">
      <selection activeCell="J4" sqref="J4"/>
    </sheetView>
  </sheetViews>
  <sheetFormatPr defaultColWidth="8.6640625" defaultRowHeight="14.25" x14ac:dyDescent="0.2"/>
  <cols>
    <col min="1" max="1" width="21.109375" style="12" customWidth="1"/>
    <col min="2" max="2" width="13.5546875" style="12" customWidth="1"/>
    <col min="3" max="3" width="20" style="12" customWidth="1"/>
    <col min="4" max="4" width="9.44140625" style="12" customWidth="1"/>
    <col min="5" max="5" width="8.6640625" style="12"/>
    <col min="6" max="6" width="13.77734375" style="12" bestFit="1" customWidth="1"/>
    <col min="7" max="7" width="11.21875" style="12" customWidth="1"/>
    <col min="8" max="8" width="5.5546875" style="12" customWidth="1"/>
    <col min="9" max="9" width="2.33203125" style="12" customWidth="1"/>
    <col min="10" max="10" width="16.5546875" style="12" customWidth="1"/>
    <col min="11" max="12" width="7.33203125" style="12" customWidth="1"/>
    <col min="13" max="13" width="2.44140625" style="12" customWidth="1"/>
    <col min="14" max="16384" width="8.6640625" style="12"/>
  </cols>
  <sheetData>
    <row r="1" spans="1:14" ht="15.75" thickBot="1" x14ac:dyDescent="0.3">
      <c r="A1" s="199" t="str">
        <f>assumptions!B2</f>
        <v>enter date</v>
      </c>
      <c r="B1" s="200" t="str">
        <f>assumptions!B1</f>
        <v>enter project name</v>
      </c>
      <c r="C1" s="28"/>
      <c r="D1" s="53"/>
      <c r="E1" s="53"/>
      <c r="F1" s="18"/>
      <c r="G1" s="53"/>
    </row>
    <row r="2" spans="1:14" ht="15" thickTop="1" x14ac:dyDescent="0.2">
      <c r="B2" s="1"/>
      <c r="C2" s="1"/>
      <c r="D2" s="1"/>
      <c r="E2" s="1"/>
      <c r="F2" s="1"/>
      <c r="G2" s="1"/>
      <c r="I2" s="552" t="s">
        <v>272</v>
      </c>
      <c r="J2" s="552"/>
      <c r="K2" s="552"/>
      <c r="L2" s="552"/>
    </row>
    <row r="3" spans="1:14" s="22" customFormat="1" x14ac:dyDescent="0.2">
      <c r="A3" s="457" t="s">
        <v>273</v>
      </c>
      <c r="B3" s="460" t="s">
        <v>274</v>
      </c>
      <c r="C3" s="207" t="s">
        <v>275</v>
      </c>
      <c r="D3" s="207"/>
      <c r="E3" s="207" t="s">
        <v>275</v>
      </c>
      <c r="F3" s="207" t="s">
        <v>276</v>
      </c>
      <c r="G3" s="235" t="s">
        <v>277</v>
      </c>
      <c r="I3" s="273"/>
      <c r="J3" s="273" t="s">
        <v>278</v>
      </c>
      <c r="K3" s="273" t="s">
        <v>279</v>
      </c>
      <c r="L3" s="273" t="s">
        <v>280</v>
      </c>
      <c r="N3" s="12"/>
    </row>
    <row r="4" spans="1:14" x14ac:dyDescent="0.2">
      <c r="A4" s="458" t="s">
        <v>281</v>
      </c>
      <c r="B4" s="461" t="s">
        <v>282</v>
      </c>
      <c r="C4" s="458" t="s">
        <v>283</v>
      </c>
      <c r="D4" s="458" t="s">
        <v>284</v>
      </c>
      <c r="E4" s="458" t="s">
        <v>285</v>
      </c>
      <c r="F4" s="458" t="s">
        <v>286</v>
      </c>
      <c r="G4" s="458" t="s">
        <v>287</v>
      </c>
      <c r="I4" s="274">
        <v>1</v>
      </c>
      <c r="J4" s="140"/>
      <c r="K4" s="513">
        <f>COUNTIF(rents!A:A,J4)</f>
        <v>0</v>
      </c>
      <c r="L4" s="513">
        <f>IFERROR(SUMIFS(rents!$R$6:$R$100,rents!$A$6:$A$100,'rent summary'!J4),"")</f>
        <v>0</v>
      </c>
    </row>
    <row r="5" spans="1:14" x14ac:dyDescent="0.2">
      <c r="A5" s="458"/>
      <c r="B5" s="458"/>
      <c r="C5" s="1"/>
      <c r="D5" s="1"/>
      <c r="E5" s="1"/>
      <c r="F5" s="1"/>
      <c r="G5" s="1"/>
      <c r="I5" s="274">
        <v>2</v>
      </c>
      <c r="J5" s="140"/>
      <c r="K5" s="513">
        <f>COUNTIF(rents!A:A,J5)</f>
        <v>0</v>
      </c>
      <c r="L5" s="513">
        <f>IFERROR(SUMIFS(rents!$R$6:$R$100,rents!$A$6:$A$100,'rent summary'!J5),"")</f>
        <v>0</v>
      </c>
    </row>
    <row r="6" spans="1:14" x14ac:dyDescent="0.2">
      <c r="A6" s="458">
        <v>0</v>
      </c>
      <c r="B6" s="127"/>
      <c r="C6" s="515">
        <f>IFERROR(AVERAGEIFS(rents!$R$6:$R$100,rents!$G$6:$G$100,1,rents!$Q$6:$Q$100,'rent summary'!$A6),0)</f>
        <v>0</v>
      </c>
      <c r="D6" s="515">
        <f>COUNTIFS(rents!$G$6:$G$100,1,rents!$Q$6:$Q$100,'rent summary'!A6)</f>
        <v>0</v>
      </c>
      <c r="E6" s="269">
        <f>IFERROR(AVERAGEIFS(rents!$S$6:$S$100,rents!$G$6:$G$100,1,rents!$Q$6:$Q$100,'rent summary'!$A6),0)</f>
        <v>0</v>
      </c>
      <c r="F6" s="269">
        <f>IFERROR(AVERAGEIFS(rents!$T$6:$T$100,rents!$G$6:$G$100,1,rents!$Q$6:$Q$100,'rent summary'!$A6),0)</f>
        <v>0</v>
      </c>
      <c r="G6" s="193">
        <f>D6*E6*12</f>
        <v>0</v>
      </c>
      <c r="I6" s="274">
        <v>3</v>
      </c>
      <c r="J6" s="140"/>
      <c r="K6" s="513">
        <f>COUNTIF(rents!A:A,J6)</f>
        <v>0</v>
      </c>
      <c r="L6" s="513">
        <f>IFERROR(SUMIFS(rents!$R$6:$R$100,rents!$A$6:$A$100,'rent summary'!J6),"")</f>
        <v>0</v>
      </c>
    </row>
    <row r="7" spans="1:14" x14ac:dyDescent="0.2">
      <c r="A7" s="458">
        <v>1</v>
      </c>
      <c r="B7" s="127"/>
      <c r="C7" s="515">
        <f>IFERROR(AVERAGEIFS(rents!$R$6:$R$100,rents!$G$6:$G$100,1,rents!$Q$6:$Q$100,'rent summary'!$A7),0)</f>
        <v>0</v>
      </c>
      <c r="D7" s="515">
        <f>COUNTIFS(rents!$G$6:$G$100,1,rents!$Q$6:$Q$100,'rent summary'!A7)</f>
        <v>0</v>
      </c>
      <c r="E7" s="269">
        <f>IFERROR(AVERAGEIFS(rents!$S$6:$S$100,rents!$G$6:$G$100,1,rents!$Q$6:$Q$100,'rent summary'!$A7),0)</f>
        <v>0</v>
      </c>
      <c r="F7" s="269">
        <f>IFERROR(AVERAGEIFS(rents!$T$6:$T$100,rents!$G$6:$G$100,1,rents!$Q$6:$Q$100,'rent summary'!$A7),0)</f>
        <v>0</v>
      </c>
      <c r="G7" s="193">
        <f>D7*E7*12</f>
        <v>0</v>
      </c>
      <c r="I7" s="274">
        <v>4</v>
      </c>
      <c r="J7" s="140"/>
      <c r="K7" s="513">
        <f>COUNTIF(rents!A:A,J7)</f>
        <v>0</v>
      </c>
      <c r="L7" s="513">
        <f>IFERROR(SUMIFS(rents!$R$6:$R$100,rents!$A$6:$A$100,'rent summary'!J7),"")</f>
        <v>0</v>
      </c>
    </row>
    <row r="8" spans="1:14" x14ac:dyDescent="0.2">
      <c r="A8" s="458">
        <v>2</v>
      </c>
      <c r="B8" s="127"/>
      <c r="C8" s="515">
        <f>IFERROR(AVERAGEIFS(rents!$R$6:$R$100,rents!$G$6:$G$100,1,rents!$Q$6:$Q$100,'rent summary'!$A8),0)</f>
        <v>0</v>
      </c>
      <c r="D8" s="515">
        <f>COUNTIFS(rents!$G$6:$G$100,1,rents!$Q$6:$Q$100,'rent summary'!A8)</f>
        <v>0</v>
      </c>
      <c r="E8" s="269">
        <f>IFERROR(AVERAGEIFS(rents!$S$6:$S$100,rents!$G$6:$G$100,1,rents!$Q$6:$Q$100,'rent summary'!$A8),0)</f>
        <v>0</v>
      </c>
      <c r="F8" s="269">
        <f>IFERROR(AVERAGEIFS(rents!$T$6:$T$100,rents!$G$6:$G$100,1,rents!$Q$6:$Q$100,'rent summary'!$A8),0)</f>
        <v>0</v>
      </c>
      <c r="G8" s="193">
        <f>D8*E8*12</f>
        <v>0</v>
      </c>
      <c r="I8" s="274">
        <v>5</v>
      </c>
      <c r="J8" s="140"/>
      <c r="K8" s="513">
        <f>COUNTIF(rents!A:A,J8)</f>
        <v>0</v>
      </c>
      <c r="L8" s="513">
        <f>IFERROR(SUMIFS(rents!$R$6:$R$100,rents!$A$6:$A$100,'rent summary'!J8),"")</f>
        <v>0</v>
      </c>
    </row>
    <row r="9" spans="1:14" x14ac:dyDescent="0.2">
      <c r="A9" s="458">
        <v>3</v>
      </c>
      <c r="B9" s="127"/>
      <c r="C9" s="515">
        <f>IFERROR(AVERAGEIFS(rents!$R$6:$R$100,rents!$G$6:$G$100,1,rents!$Q$6:$Q$100,'rent summary'!$A9),0)</f>
        <v>0</v>
      </c>
      <c r="D9" s="515">
        <f>COUNTIFS(rents!$G$6:$G$100,1,rents!$Q$6:$Q$100,'rent summary'!A9)</f>
        <v>0</v>
      </c>
      <c r="E9" s="269">
        <f>IFERROR(AVERAGEIFS(rents!$S$6:$S$100,rents!$G$6:$G$100,1,rents!$Q$6:$Q$100,'rent summary'!$A9),0)</f>
        <v>0</v>
      </c>
      <c r="F9" s="269">
        <f>IFERROR(AVERAGEIFS(rents!$T$6:$T$100,rents!$G$6:$G$100,1,rents!$Q$6:$Q$100,'rent summary'!$A9),0)</f>
        <v>0</v>
      </c>
      <c r="G9" s="193">
        <f>D9*E9*12</f>
        <v>0</v>
      </c>
      <c r="I9" s="274">
        <v>6</v>
      </c>
      <c r="J9" s="140"/>
      <c r="K9" s="513">
        <f>COUNTIF(rents!A:A,J9)</f>
        <v>0</v>
      </c>
      <c r="L9" s="513">
        <f>IFERROR(SUMIFS(rents!$R$6:$R$100,rents!$A$6:$A$100,'rent summary'!J9),"")</f>
        <v>0</v>
      </c>
    </row>
    <row r="10" spans="1:14" x14ac:dyDescent="0.2">
      <c r="A10" s="458" t="s">
        <v>288</v>
      </c>
      <c r="B10" s="336"/>
      <c r="C10" s="515">
        <f>IFERROR(AVERAGEIFS(rents!$R$6:$R$100,rents!$G$6:$G$100,1,rents!$Q$6:$Q$100,"&gt;3"),0)</f>
        <v>0</v>
      </c>
      <c r="D10" s="515">
        <f>COUNTIFS(rents!$G$6:$G$100,1,rents!$Q$6:$Q$100,"&gt;3")</f>
        <v>0</v>
      </c>
      <c r="E10" s="269">
        <f>IFERROR(AVERAGEIFS(rents!$S$6:$S$100,rents!$G$6:$G$100,1,rents!$Q$6:$Q$100,"&gt;3"),0)</f>
        <v>0</v>
      </c>
      <c r="F10" s="269">
        <f>IFERROR(AVERAGEIFS(rents!$T$6:$T$100,rents!$G$6:$G$100,1,rents!$Q$6:$Q$100,"&gt;3"),0)</f>
        <v>0</v>
      </c>
      <c r="G10" s="193">
        <f>D10*E10*12</f>
        <v>0</v>
      </c>
      <c r="I10" s="274">
        <v>7</v>
      </c>
      <c r="J10" s="140"/>
      <c r="K10" s="513">
        <f>COUNTIF(rents!A:A,J10)</f>
        <v>0</v>
      </c>
      <c r="L10" s="513">
        <f>IFERROR(SUMIFS(rents!$R$6:$R$100,rents!$A$6:$A$100,'rent summary'!J10),"")</f>
        <v>0</v>
      </c>
    </row>
    <row r="11" spans="1:14" x14ac:dyDescent="0.2">
      <c r="A11" s="1"/>
      <c r="B11" s="27" t="s">
        <v>289</v>
      </c>
      <c r="C11" s="272">
        <f>C6*D6+C7*D7+C8*D8+C9*D9+C10*D10</f>
        <v>0</v>
      </c>
      <c r="D11" s="227">
        <f>SUM(D5:D10)</f>
        <v>0</v>
      </c>
      <c r="E11" s="24"/>
      <c r="F11" s="221"/>
      <c r="G11" s="221">
        <f>SUM(G6:G10)</f>
        <v>0</v>
      </c>
      <c r="I11" s="274">
        <v>8</v>
      </c>
      <c r="J11" s="140"/>
      <c r="K11" s="513">
        <f>COUNTIF(rents!A:A,J11)</f>
        <v>0</v>
      </c>
      <c r="L11" s="513">
        <f>IFERROR(SUMIFS(rents!$R$6:$R$100,rents!$A$6:$A$100,'rent summary'!J11),"")</f>
        <v>0</v>
      </c>
    </row>
    <row r="12" spans="1:14" x14ac:dyDescent="0.2">
      <c r="A12" s="1"/>
      <c r="I12" s="274">
        <v>9</v>
      </c>
      <c r="J12" s="140"/>
      <c r="K12" s="513">
        <f>COUNTIF(rents!A:A,J12)</f>
        <v>0</v>
      </c>
      <c r="L12" s="513">
        <f>IFERROR(SUMIFS(rents!$R$6:$R$100,rents!$A$6:$A$100,'rent summary'!J12),"")</f>
        <v>0</v>
      </c>
    </row>
    <row r="13" spans="1:14" x14ac:dyDescent="0.2">
      <c r="A13" s="2" t="s">
        <v>290</v>
      </c>
      <c r="B13" s="460" t="s">
        <v>274</v>
      </c>
      <c r="C13" s="207" t="s">
        <v>275</v>
      </c>
      <c r="D13" s="460"/>
      <c r="E13" s="207" t="s">
        <v>275</v>
      </c>
      <c r="F13" s="207" t="s">
        <v>276</v>
      </c>
      <c r="G13" s="458" t="s">
        <v>277</v>
      </c>
      <c r="I13" s="274">
        <v>10</v>
      </c>
      <c r="J13" s="140"/>
      <c r="K13" s="513">
        <f>COUNTIF(rents!A:A,J13)</f>
        <v>0</v>
      </c>
      <c r="L13" s="513">
        <f>IFERROR(SUMIFS(rents!$R$6:$R$100,rents!$A$6:$A$100,'rent summary'!J13),"")</f>
        <v>0</v>
      </c>
    </row>
    <row r="14" spans="1:14" x14ac:dyDescent="0.2">
      <c r="A14" s="458" t="s">
        <v>281</v>
      </c>
      <c r="B14" s="461" t="s">
        <v>282</v>
      </c>
      <c r="C14" s="458" t="s">
        <v>283</v>
      </c>
      <c r="D14" s="458" t="s">
        <v>284</v>
      </c>
      <c r="E14" s="458" t="s">
        <v>285</v>
      </c>
      <c r="F14" s="458" t="s">
        <v>286</v>
      </c>
      <c r="G14" s="458" t="s">
        <v>287</v>
      </c>
    </row>
    <row r="15" spans="1:14" x14ac:dyDescent="0.2">
      <c r="A15" s="458"/>
      <c r="B15" s="1"/>
      <c r="C15" s="1"/>
      <c r="D15" s="1"/>
      <c r="E15" s="1"/>
      <c r="F15" s="1"/>
      <c r="G15" s="1"/>
    </row>
    <row r="16" spans="1:14" x14ac:dyDescent="0.2">
      <c r="A16" s="458">
        <v>0</v>
      </c>
      <c r="B16" s="128"/>
      <c r="C16" s="515">
        <f>IFERROR(AVERAGEIFS(rents!$R$6:$R$100,rents!$G$6:$G$100,0,rents!$Q$6:$Q$100,'rent summary'!$A16),0)</f>
        <v>0</v>
      </c>
      <c r="D16" s="515">
        <f>IFERROR(COUNTIFS(rents!$G$6:$G$100,0,rents!$Q$6:$Q$100,'rent summary'!A16),0)</f>
        <v>0</v>
      </c>
      <c r="E16" s="269">
        <f>IFERROR(AVERAGEIFS(rents!$S$6:$S$100,rents!$G$6:$G$100,0,rents!$Q$6:$Q$100,'rent summary'!$A16),0)</f>
        <v>0</v>
      </c>
      <c r="F16" s="269">
        <f>IFERROR(AVERAGEIFS(rents!$T$6:$T$100,rents!$G$6:$G$100,0,rents!$Q$6:$Q$100,'rent summary'!$A16),0)</f>
        <v>0</v>
      </c>
      <c r="G16" s="193">
        <f>D16*E16*12</f>
        <v>0</v>
      </c>
    </row>
    <row r="17" spans="1:9" x14ac:dyDescent="0.2">
      <c r="A17" s="458">
        <v>1</v>
      </c>
      <c r="B17" s="128"/>
      <c r="C17" s="515">
        <f>IFERROR(AVERAGEIFS(rents!$R$6:$R$100,rents!$G$6:$G$100,0,rents!$Q$6:$Q$100,'rent summary'!$A17),0)</f>
        <v>0</v>
      </c>
      <c r="D17" s="515">
        <f>IFERROR(COUNTIFS(rents!$G$6:$G$100,0,rents!$Q$6:$Q$100,'rent summary'!A17),0)</f>
        <v>0</v>
      </c>
      <c r="E17" s="269">
        <f>IFERROR(AVERAGEIFS(rents!$S$6:$S$100,rents!$G$6:$G$100,0,rents!$Q$6:$Q$100,'rent summary'!$A17),0)</f>
        <v>0</v>
      </c>
      <c r="F17" s="269">
        <f>IFERROR(AVERAGEIFS(rents!$T$6:$T$100,rents!$G$6:$G$100,0,rents!$Q$6:$Q$100,'rent summary'!$A17),0)</f>
        <v>0</v>
      </c>
      <c r="G17" s="193">
        <f>D17*E17*12</f>
        <v>0</v>
      </c>
    </row>
    <row r="18" spans="1:9" x14ac:dyDescent="0.2">
      <c r="A18" s="458">
        <v>2</v>
      </c>
      <c r="B18" s="128"/>
      <c r="C18" s="515">
        <f>IFERROR(AVERAGEIFS(rents!$R$6:$R$100,rents!$G$6:$G$100,0,rents!$Q$6:$Q$100,'rent summary'!$A18),0)</f>
        <v>0</v>
      </c>
      <c r="D18" s="515">
        <f>IFERROR(COUNTIFS(rents!$G$6:$G$100,0,rents!$Q$6:$Q$100,'rent summary'!A18),0)</f>
        <v>0</v>
      </c>
      <c r="E18" s="269">
        <f>IFERROR(AVERAGEIFS(rents!$S$6:$S$100,rents!$G$6:$G$100,0,rents!$Q$6:$Q$100,'rent summary'!$A18),0)</f>
        <v>0</v>
      </c>
      <c r="F18" s="269">
        <f>IFERROR(AVERAGEIFS(rents!$T$6:$T$100,rents!$G$6:$G$100,0,rents!$Q$6:$Q$100,'rent summary'!$A18),0)</f>
        <v>0</v>
      </c>
      <c r="G18" s="193">
        <f>D18*E18*12</f>
        <v>0</v>
      </c>
    </row>
    <row r="19" spans="1:9" x14ac:dyDescent="0.2">
      <c r="A19" s="458">
        <v>3</v>
      </c>
      <c r="B19" s="128"/>
      <c r="C19" s="515">
        <f>IFERROR(AVERAGEIFS(rents!$R$6:$R$100,rents!$G$6:$G$100,0,rents!$Q$6:$Q$100,'rent summary'!$A19),0)</f>
        <v>0</v>
      </c>
      <c r="D19" s="515">
        <f>IFERROR(COUNTIFS(rents!$G$6:$G$100,0,rents!$Q$6:$Q$100,'rent summary'!A19),0)</f>
        <v>0</v>
      </c>
      <c r="E19" s="269">
        <f>IFERROR(AVERAGEIFS(rents!$S$6:$S$100,rents!$G$6:$G$100,0,rents!$Q$6:$Q$100,'rent summary'!$A19),0)</f>
        <v>0</v>
      </c>
      <c r="F19" s="269">
        <f>IFERROR(AVERAGEIFS(rents!$T$6:$T$100,rents!$G$6:$G$100,0,rents!$Q$6:$Q$100,'rent summary'!$A19),0)</f>
        <v>0</v>
      </c>
      <c r="G19" s="193">
        <f>D19*E19*12</f>
        <v>0</v>
      </c>
      <c r="H19" s="35"/>
      <c r="I19" s="35"/>
    </row>
    <row r="20" spans="1:9" x14ac:dyDescent="0.2">
      <c r="A20" s="458" t="s">
        <v>288</v>
      </c>
      <c r="B20" s="337"/>
      <c r="C20" s="515">
        <f>IFERROR(AVERAGEIFS(rents!$R$6:$R$100,rents!$G$6:$G$100,0,rents!$Q$6:$Q$100,"&gt;3"),0)</f>
        <v>0</v>
      </c>
      <c r="D20" s="515">
        <f>IFERROR(COUNTIFS(rents!$G$6:$G$100,0,rents!$Q$6:$Q$100,"&gt;3"),0)</f>
        <v>0</v>
      </c>
      <c r="E20" s="269">
        <f>IFERROR(AVERAGEIFS(rents!$S$6:$S$100,rents!$G$6:$G$100,0,rents!$Q$6:$Q$100,"&gt;3"),0)</f>
        <v>0</v>
      </c>
      <c r="F20" s="269">
        <f>IFERROR(AVERAGEIFS(rents!$T$6:$T$100,rents!$G$6:$G$100,0,rents!$Q$6:$Q$100,"&gt;3"),0)</f>
        <v>0</v>
      </c>
      <c r="G20" s="193">
        <f>D20*E20*12</f>
        <v>0</v>
      </c>
    </row>
    <row r="21" spans="1:9" x14ac:dyDescent="0.2">
      <c r="A21" s="1"/>
      <c r="B21" s="27" t="s">
        <v>289</v>
      </c>
      <c r="C21" s="331">
        <f>(C16*D16)+(C17*D17)+(C18*D18)+(C19*D19)+(C20*D20)</f>
        <v>0</v>
      </c>
      <c r="D21" s="36">
        <f>SUM(D15:D20)</f>
        <v>0</v>
      </c>
      <c r="E21" s="24"/>
      <c r="F21" s="330"/>
      <c r="G21" s="221">
        <f>SUM(G16:G20)</f>
        <v>0</v>
      </c>
    </row>
    <row r="22" spans="1:9" x14ac:dyDescent="0.2">
      <c r="A22" s="2"/>
      <c r="C22" s="33"/>
      <c r="D22" s="33"/>
      <c r="H22" s="35"/>
      <c r="I22" s="35"/>
    </row>
    <row r="23" spans="1:9" x14ac:dyDescent="0.2">
      <c r="A23" s="459" t="s">
        <v>291</v>
      </c>
      <c r="B23" s="173"/>
      <c r="C23" s="462">
        <f>rents!R100</f>
        <v>0</v>
      </c>
      <c r="D23" s="516">
        <f>COUNTIFS(rents!A6:A100,rents!A100,rents!R6:R100,"&gt;0")</f>
        <v>0</v>
      </c>
      <c r="E23" s="1"/>
      <c r="F23" s="1"/>
      <c r="G23" s="1"/>
      <c r="H23" s="35"/>
      <c r="I23" s="35"/>
    </row>
    <row r="24" spans="1:9" ht="15" x14ac:dyDescent="0.25">
      <c r="A24" s="2"/>
      <c r="B24" s="2"/>
      <c r="C24" s="226"/>
      <c r="D24" s="33"/>
      <c r="E24" s="1"/>
      <c r="F24" s="1"/>
      <c r="G24" s="1"/>
    </row>
    <row r="25" spans="1:9" ht="15" x14ac:dyDescent="0.25">
      <c r="A25" s="1" t="s">
        <v>292</v>
      </c>
      <c r="B25" s="2"/>
      <c r="C25" s="463"/>
      <c r="D25" s="226">
        <f>D21+D11+D23</f>
        <v>0</v>
      </c>
      <c r="E25" s="4"/>
      <c r="F25" s="1"/>
      <c r="G25" s="225">
        <f>G21+G11</f>
        <v>0</v>
      </c>
    </row>
    <row r="26" spans="1:9" x14ac:dyDescent="0.2">
      <c r="B26" s="13"/>
      <c r="C26" s="17"/>
      <c r="D26" s="17"/>
      <c r="E26" s="17"/>
      <c r="G26" s="17"/>
    </row>
    <row r="28" spans="1:9" x14ac:dyDescent="0.2">
      <c r="C28" s="13" t="s">
        <v>293</v>
      </c>
      <c r="D28" s="498">
        <f>IF(assumptions!E9='VHFA Use'!C94,assumptions!F9,assumptions!E9)</f>
        <v>0.05</v>
      </c>
      <c r="G28" s="193">
        <f>-G25*D28</f>
        <v>0</v>
      </c>
    </row>
    <row r="29" spans="1:9" ht="15" thickBot="1" x14ac:dyDescent="0.25">
      <c r="F29" s="29" t="s">
        <v>294</v>
      </c>
      <c r="G29" s="221">
        <f>G28+G25</f>
        <v>0</v>
      </c>
    </row>
    <row r="30" spans="1:9" ht="15" thickTop="1" x14ac:dyDescent="0.2">
      <c r="C30" s="13" t="s">
        <v>295</v>
      </c>
      <c r="F30" s="58"/>
      <c r="G30" s="54"/>
    </row>
    <row r="31" spans="1:9" x14ac:dyDescent="0.2">
      <c r="G31" s="14"/>
    </row>
    <row r="32" spans="1:9" x14ac:dyDescent="0.2">
      <c r="C32" s="13" t="s">
        <v>296</v>
      </c>
      <c r="G32" s="124">
        <v>0</v>
      </c>
    </row>
    <row r="33" spans="3:7" x14ac:dyDescent="0.2">
      <c r="C33" s="13" t="s">
        <v>297</v>
      </c>
      <c r="G33" s="124">
        <v>0</v>
      </c>
    </row>
    <row r="34" spans="3:7" x14ac:dyDescent="0.2">
      <c r="C34" s="13" t="s">
        <v>298</v>
      </c>
      <c r="G34" s="124">
        <v>0</v>
      </c>
    </row>
    <row r="35" spans="3:7" x14ac:dyDescent="0.2">
      <c r="C35" s="1" t="s">
        <v>299</v>
      </c>
      <c r="D35" s="55">
        <v>0.2</v>
      </c>
      <c r="G35" s="201">
        <f>-G34*D35</f>
        <v>0</v>
      </c>
    </row>
    <row r="36" spans="3:7" x14ac:dyDescent="0.2">
      <c r="C36" s="13" t="s">
        <v>78</v>
      </c>
      <c r="G36" s="129">
        <v>0</v>
      </c>
    </row>
    <row r="37" spans="3:7" x14ac:dyDescent="0.2">
      <c r="C37" s="13" t="s">
        <v>78</v>
      </c>
      <c r="G37" s="129">
        <v>0</v>
      </c>
    </row>
    <row r="38" spans="3:7" ht="15" thickBot="1" x14ac:dyDescent="0.25">
      <c r="F38" s="29" t="s">
        <v>300</v>
      </c>
      <c r="G38" s="221">
        <f>G29+SUM(G32:G37)</f>
        <v>0</v>
      </c>
    </row>
    <row r="39" spans="3:7" ht="15" thickTop="1" x14ac:dyDescent="0.2">
      <c r="F39" s="58"/>
      <c r="G39" s="58"/>
    </row>
    <row r="70" spans="6:16" x14ac:dyDescent="0.2">
      <c r="F70" s="12" t="e">
        <f t="shared" ref="F70:P70" si="0">F4-F69</f>
        <v>#VALUE!</v>
      </c>
      <c r="G70" s="12" t="e">
        <f t="shared" si="0"/>
        <v>#VALUE!</v>
      </c>
      <c r="H70" s="12">
        <f t="shared" si="0"/>
        <v>0</v>
      </c>
      <c r="I70" s="12" t="e">
        <f>#REF!-I69</f>
        <v>#REF!</v>
      </c>
      <c r="J70" s="12" t="e">
        <f>#REF!-J69</f>
        <v>#REF!</v>
      </c>
      <c r="K70" s="12" t="e">
        <f>#REF!-K69</f>
        <v>#REF!</v>
      </c>
      <c r="M70" s="12">
        <f t="shared" si="0"/>
        <v>0</v>
      </c>
      <c r="N70" s="12">
        <f t="shared" si="0"/>
        <v>0</v>
      </c>
      <c r="O70" s="12">
        <f t="shared" si="0"/>
        <v>0</v>
      </c>
      <c r="P70" s="12">
        <f t="shared" si="0"/>
        <v>0</v>
      </c>
    </row>
  </sheetData>
  <sheetProtection algorithmName="SHA-512" hashValue="Xy8hdd3H2TA4d927QWd7Tbrj1LthnIUd95sO0YQ4kTPTX9AzK6J+LdBtGgSupfsCYQgw5dxn7d9R/dBKnR90fw==" saltValue="YtqgALFZ6ebAmGWxRpDdEA==" spinCount="100000" sheet="1" formatCells="0" formatColumns="0" formatRows="0"/>
  <mergeCells count="1">
    <mergeCell ref="I2:L2"/>
  </mergeCells>
  <phoneticPr fontId="0" type="noConversion"/>
  <conditionalFormatting sqref="K4:L13">
    <cfRule type="cellIs" dxfId="0" priority="7" operator="equal">
      <formula>0</formula>
    </cfRule>
  </conditionalFormatting>
  <pageMargins left="0.75" right="0.75" top="1" bottom="1" header="0.5" footer="0.5"/>
  <pageSetup scale="70" orientation="portrait" r:id="rId1"/>
  <headerFooter alignWithMargins="0">
    <oddFooter>&amp;L&amp;F
&amp;D&amp;T&amp;R&amp;"Times New Roman,Regular"&amp;8revision date:  8/6/2007</oddFooter>
  </headerFooter>
  <ignoredErrors>
    <ignoredError sqref="D21"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2" id="{8C56B0F5-BC77-46CC-BE47-CEF009591776}">
            <xm:f>assumptions!$B$3&lt;2</xm:f>
            <x14:dxf>
              <font>
                <color theme="0"/>
              </font>
              <fill>
                <patternFill patternType="none">
                  <bgColor auto="1"/>
                </patternFill>
              </fill>
              <border>
                <left/>
                <right/>
                <top/>
                <bottom/>
              </border>
            </x14:dxf>
          </x14:cfRule>
          <xm:sqref>I2 I3:L13</xm:sqref>
        </x14:conditionalFormatting>
        <x14:conditionalFormatting xmlns:xm="http://schemas.microsoft.com/office/excel/2006/main">
          <x14:cfRule type="cellIs" priority="9" operator="greaterThan" id="{B3DDDCBE-A8FA-4457-8195-FAE9CC6D268F}">
            <xm:f>assumptions!$B$3</xm:f>
            <x14:dxf>
              <font>
                <color theme="0" tint="-4.9989318521683403E-2"/>
              </font>
            </x14:dxf>
          </x14:cfRule>
          <xm:sqref>I4:I13</xm:sqref>
        </x14:conditionalFormatting>
        <x14:conditionalFormatting xmlns:xm="http://schemas.microsoft.com/office/excel/2006/main">
          <x14:cfRule type="expression" priority="1" id="{BB4C03DA-8D23-405A-9049-DA187768B65A}">
            <xm:f>assumptions!$B$3&lt;2</xm:f>
            <x14:dxf>
              <font>
                <color theme="0"/>
              </font>
            </x14:dxf>
          </x14:cfRule>
          <xm:sqref>K4:L13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31B260F-6D08-4E22-9376-9A640A57257D}">
          <x14:formula1>
            <xm:f>'VHFA Use'!$C$69:$C$70</xm:f>
          </x14:formula1>
          <xm:sqref>B16:B20 B6:B10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80"/>
  <sheetViews>
    <sheetView zoomScale="78" zoomScaleNormal="78" zoomScaleSheetLayoutView="75" workbookViewId="0">
      <pane ySplit="3" topLeftCell="A4" activePane="bottomLeft" state="frozen"/>
      <selection pane="bottomLeft" activeCell="D1" sqref="D1:D1048576"/>
    </sheetView>
  </sheetViews>
  <sheetFormatPr defaultColWidth="8.6640625" defaultRowHeight="14.25" outlineLevelRow="1" x14ac:dyDescent="0.2"/>
  <cols>
    <col min="1" max="1" width="31.33203125" style="12" customWidth="1"/>
    <col min="2" max="2" width="15.44140625" style="12" customWidth="1"/>
    <col min="3" max="3" width="8" style="12" customWidth="1"/>
    <col min="4" max="4" width="10" style="634" customWidth="1"/>
    <col min="5" max="5" width="11.6640625" style="12" customWidth="1"/>
    <col min="6" max="6" width="17.5546875" style="12" bestFit="1" customWidth="1"/>
    <col min="7" max="16384" width="8.6640625" style="12"/>
  </cols>
  <sheetData>
    <row r="1" spans="1:5" ht="15.75" thickBot="1" x14ac:dyDescent="0.3">
      <c r="A1" s="199" t="str">
        <f>assumptions!B2</f>
        <v>enter date</v>
      </c>
      <c r="B1" s="200" t="str">
        <f>assumptions!B1</f>
        <v>enter project name</v>
      </c>
      <c r="C1" s="28"/>
      <c r="D1" s="631"/>
      <c r="E1" s="18"/>
    </row>
    <row r="2" spans="1:5" ht="15" thickTop="1" x14ac:dyDescent="0.2">
      <c r="A2" s="4"/>
      <c r="B2" s="4"/>
      <c r="C2" s="4"/>
      <c r="D2" s="632" t="s">
        <v>186</v>
      </c>
      <c r="E2" s="3" t="s">
        <v>186</v>
      </c>
    </row>
    <row r="3" spans="1:5" s="22" customFormat="1" x14ac:dyDescent="0.2">
      <c r="A3" s="234"/>
      <c r="B3" s="235" t="s">
        <v>301</v>
      </c>
      <c r="C3" s="236" t="s">
        <v>302</v>
      </c>
      <c r="D3" s="633" t="s">
        <v>303</v>
      </c>
      <c r="E3" s="237" t="s">
        <v>304</v>
      </c>
    </row>
    <row r="4" spans="1:5" ht="15" x14ac:dyDescent="0.25">
      <c r="A4" s="62" t="s">
        <v>305</v>
      </c>
    </row>
    <row r="5" spans="1:5" x14ac:dyDescent="0.2">
      <c r="A5" s="63" t="s">
        <v>306</v>
      </c>
      <c r="B5" s="136">
        <v>0</v>
      </c>
      <c r="C5" s="193">
        <f>B5/12</f>
        <v>0</v>
      </c>
      <c r="D5" s="635" t="e">
        <f>C5/assumptions!$B$4</f>
        <v>#DIV/0!</v>
      </c>
      <c r="E5" s="193" t="e">
        <f>B5/assumptions!$B$4</f>
        <v>#DIV/0!</v>
      </c>
    </row>
    <row r="6" spans="1:5" x14ac:dyDescent="0.2">
      <c r="A6" s="63" t="s">
        <v>307</v>
      </c>
      <c r="B6" s="136">
        <v>0</v>
      </c>
      <c r="C6" s="193">
        <f>B6/12</f>
        <v>0</v>
      </c>
      <c r="D6" s="635" t="e">
        <f>C6/assumptions!$B$4</f>
        <v>#DIV/0!</v>
      </c>
      <c r="E6" s="193" t="e">
        <f>B6/assumptions!$B$4</f>
        <v>#DIV/0!</v>
      </c>
    </row>
    <row r="7" spans="1:5" x14ac:dyDescent="0.2">
      <c r="A7" s="63" t="s">
        <v>308</v>
      </c>
      <c r="B7" s="136">
        <v>0</v>
      </c>
      <c r="C7" s="193">
        <f>B7/12</f>
        <v>0</v>
      </c>
      <c r="D7" s="635" t="e">
        <f>C7/assumptions!$B$4</f>
        <v>#DIV/0!</v>
      </c>
      <c r="E7" s="193" t="e">
        <f>B7/assumptions!$B$4</f>
        <v>#DIV/0!</v>
      </c>
    </row>
    <row r="8" spans="1:5" x14ac:dyDescent="0.2">
      <c r="A8" s="63" t="s">
        <v>309</v>
      </c>
      <c r="B8" s="136">
        <v>0</v>
      </c>
      <c r="C8" s="193">
        <f>B8/12</f>
        <v>0</v>
      </c>
      <c r="D8" s="635" t="e">
        <f>C8/assumptions!$B$4</f>
        <v>#DIV/0!</v>
      </c>
      <c r="E8" s="193" t="e">
        <f>B8/assumptions!$B$4</f>
        <v>#DIV/0!</v>
      </c>
    </row>
    <row r="9" spans="1:5" x14ac:dyDescent="0.2">
      <c r="A9" s="63" t="s">
        <v>310</v>
      </c>
      <c r="B9" s="136">
        <v>0</v>
      </c>
      <c r="C9" s="193">
        <f t="shared" ref="C9" si="0">B9/12</f>
        <v>0</v>
      </c>
      <c r="D9" s="635" t="e">
        <f>C9/assumptions!$B$4</f>
        <v>#DIV/0!</v>
      </c>
      <c r="E9" s="193" t="e">
        <f>B9/assumptions!$B$4</f>
        <v>#DIV/0!</v>
      </c>
    </row>
    <row r="10" spans="1:5" x14ac:dyDescent="0.2">
      <c r="A10" s="63" t="s">
        <v>311</v>
      </c>
      <c r="B10" s="136">
        <v>0</v>
      </c>
      <c r="C10" s="193">
        <f t="shared" ref="C10:C15" si="1">B10/12</f>
        <v>0</v>
      </c>
      <c r="D10" s="635" t="e">
        <f>C10/assumptions!$B$4</f>
        <v>#DIV/0!</v>
      </c>
      <c r="E10" s="193" t="e">
        <f>B10/assumptions!$B$4</f>
        <v>#DIV/0!</v>
      </c>
    </row>
    <row r="11" spans="1:5" x14ac:dyDescent="0.2">
      <c r="A11" s="63" t="s">
        <v>312</v>
      </c>
      <c r="B11" s="136">
        <v>0</v>
      </c>
      <c r="C11" s="193">
        <f t="shared" si="1"/>
        <v>0</v>
      </c>
      <c r="D11" s="635" t="e">
        <f>C11/assumptions!$B$4</f>
        <v>#DIV/0!</v>
      </c>
      <c r="E11" s="193" t="e">
        <f>B11/assumptions!$B$4</f>
        <v>#DIV/0!</v>
      </c>
    </row>
    <row r="12" spans="1:5" x14ac:dyDescent="0.2">
      <c r="A12" s="63" t="s">
        <v>157</v>
      </c>
      <c r="B12" s="136">
        <v>0</v>
      </c>
      <c r="C12" s="193">
        <f t="shared" si="1"/>
        <v>0</v>
      </c>
      <c r="D12" s="635" t="e">
        <f>C12/assumptions!$B$4</f>
        <v>#DIV/0!</v>
      </c>
      <c r="E12" s="193" t="e">
        <f>B12/assumptions!$B$4</f>
        <v>#DIV/0!</v>
      </c>
    </row>
    <row r="13" spans="1:5" ht="28.5" x14ac:dyDescent="0.2">
      <c r="A13" s="64" t="s">
        <v>313</v>
      </c>
      <c r="B13" s="136">
        <v>0</v>
      </c>
      <c r="C13" s="193">
        <f t="shared" si="1"/>
        <v>0</v>
      </c>
      <c r="D13" s="635" t="e">
        <f>C13/assumptions!$B$4</f>
        <v>#DIV/0!</v>
      </c>
      <c r="E13" s="193" t="e">
        <f>B13/assumptions!$B$4</f>
        <v>#DIV/0!</v>
      </c>
    </row>
    <row r="14" spans="1:5" x14ac:dyDescent="0.2">
      <c r="A14" s="63" t="s">
        <v>314</v>
      </c>
      <c r="B14" s="136">
        <v>0</v>
      </c>
      <c r="C14" s="193">
        <f t="shared" si="1"/>
        <v>0</v>
      </c>
      <c r="D14" s="635" t="e">
        <f>C14/assumptions!$B$4</f>
        <v>#DIV/0!</v>
      </c>
      <c r="E14" s="193" t="e">
        <f>B14/assumptions!$B$4</f>
        <v>#DIV/0!</v>
      </c>
    </row>
    <row r="15" spans="1:5" x14ac:dyDescent="0.2">
      <c r="A15" s="63" t="s">
        <v>315</v>
      </c>
      <c r="B15" s="136">
        <v>0</v>
      </c>
      <c r="C15" s="193">
        <f t="shared" si="1"/>
        <v>0</v>
      </c>
      <c r="D15" s="635" t="e">
        <f>C15/assumptions!$B$4</f>
        <v>#DIV/0!</v>
      </c>
      <c r="E15" s="193" t="e">
        <f>B15/assumptions!$B$4</f>
        <v>#DIV/0!</v>
      </c>
    </row>
    <row r="16" spans="1:5" x14ac:dyDescent="0.2">
      <c r="A16" s="63" t="s">
        <v>316</v>
      </c>
      <c r="B16" s="143">
        <v>0</v>
      </c>
      <c r="C16" s="255">
        <f>B16/12</f>
        <v>0</v>
      </c>
      <c r="D16" s="635" t="e">
        <f>C16/assumptions!$B$4</f>
        <v>#DIV/0!</v>
      </c>
      <c r="E16" s="193" t="e">
        <f>B16/assumptions!$B$4</f>
        <v>#DIV/0!</v>
      </c>
    </row>
    <row r="17" spans="1:5" outlineLevel="1" x14ac:dyDescent="0.2">
      <c r="A17" s="258" t="s">
        <v>78</v>
      </c>
      <c r="B17" s="143">
        <v>0</v>
      </c>
      <c r="C17" s="255">
        <f t="shared" ref="C17:C21" si="2">B17/12</f>
        <v>0</v>
      </c>
      <c r="D17" s="635" t="e">
        <f>C17/assumptions!$B$4</f>
        <v>#DIV/0!</v>
      </c>
      <c r="E17" s="193" t="e">
        <f>B17/assumptions!$B$4</f>
        <v>#DIV/0!</v>
      </c>
    </row>
    <row r="18" spans="1:5" outlineLevel="1" x14ac:dyDescent="0.2">
      <c r="A18" s="258" t="s">
        <v>78</v>
      </c>
      <c r="B18" s="143">
        <v>0</v>
      </c>
      <c r="C18" s="255">
        <f t="shared" si="2"/>
        <v>0</v>
      </c>
      <c r="D18" s="635" t="e">
        <f>C18/assumptions!$B$4</f>
        <v>#DIV/0!</v>
      </c>
      <c r="E18" s="193" t="e">
        <f>B18/assumptions!$B$4</f>
        <v>#DIV/0!</v>
      </c>
    </row>
    <row r="19" spans="1:5" outlineLevel="1" x14ac:dyDescent="0.2">
      <c r="A19" s="258" t="s">
        <v>78</v>
      </c>
      <c r="B19" s="143">
        <v>0</v>
      </c>
      <c r="C19" s="255">
        <f t="shared" si="2"/>
        <v>0</v>
      </c>
      <c r="D19" s="635" t="e">
        <f>C19/assumptions!$B$4</f>
        <v>#DIV/0!</v>
      </c>
      <c r="E19" s="193" t="e">
        <f>B19/assumptions!$B$4</f>
        <v>#DIV/0!</v>
      </c>
    </row>
    <row r="20" spans="1:5" outlineLevel="1" x14ac:dyDescent="0.2">
      <c r="A20" s="258" t="s">
        <v>78</v>
      </c>
      <c r="B20" s="143">
        <v>0</v>
      </c>
      <c r="C20" s="255">
        <f t="shared" si="2"/>
        <v>0</v>
      </c>
      <c r="D20" s="635" t="e">
        <f>C20/assumptions!$B$4</f>
        <v>#DIV/0!</v>
      </c>
      <c r="E20" s="193" t="e">
        <f>B20/assumptions!$B$4</f>
        <v>#DIV/0!</v>
      </c>
    </row>
    <row r="21" spans="1:5" outlineLevel="1" x14ac:dyDescent="0.2">
      <c r="A21" s="258" t="s">
        <v>78</v>
      </c>
      <c r="B21" s="143">
        <v>0</v>
      </c>
      <c r="C21" s="255">
        <f t="shared" si="2"/>
        <v>0</v>
      </c>
      <c r="D21" s="635" t="e">
        <f>C21/assumptions!$B$4</f>
        <v>#DIV/0!</v>
      </c>
      <c r="E21" s="193" t="e">
        <f>B21/assumptions!$B$4</f>
        <v>#DIV/0!</v>
      </c>
    </row>
    <row r="22" spans="1:5" ht="15" thickBot="1" x14ac:dyDescent="0.25">
      <c r="A22" s="339" t="s">
        <v>317</v>
      </c>
      <c r="B22" s="340">
        <f>SUM(B5:B21)</f>
        <v>0</v>
      </c>
      <c r="C22" s="341">
        <f>B22/12</f>
        <v>0</v>
      </c>
      <c r="D22" s="636" t="e">
        <f>C22/assumptions!$B$4</f>
        <v>#DIV/0!</v>
      </c>
      <c r="E22" s="342" t="e">
        <f>B22/assumptions!$B$4</f>
        <v>#DIV/0!</v>
      </c>
    </row>
    <row r="23" spans="1:5" x14ac:dyDescent="0.2">
      <c r="B23" s="14"/>
      <c r="C23" s="193"/>
      <c r="D23" s="635"/>
      <c r="E23" s="201"/>
    </row>
    <row r="24" spans="1:5" ht="15" x14ac:dyDescent="0.25">
      <c r="A24" s="25" t="s">
        <v>318</v>
      </c>
      <c r="B24" s="14"/>
      <c r="C24" s="193"/>
      <c r="D24" s="635"/>
      <c r="E24" s="201"/>
    </row>
    <row r="25" spans="1:5" ht="15.6" customHeight="1" x14ac:dyDescent="0.2">
      <c r="A25" s="13" t="s">
        <v>319</v>
      </c>
      <c r="B25" s="143">
        <f>'Housing w Services'!I19</f>
        <v>0</v>
      </c>
      <c r="C25" s="255">
        <f>B25/12</f>
        <v>0</v>
      </c>
      <c r="D25" s="637" t="e">
        <f>C25/assumptions!$B$4</f>
        <v>#DIV/0!</v>
      </c>
      <c r="E25" s="255" t="e">
        <f>B25/assumptions!$B$4</f>
        <v>#DIV/0!</v>
      </c>
    </row>
    <row r="26" spans="1:5" ht="15" thickBot="1" x14ac:dyDescent="0.25">
      <c r="A26" s="343" t="s">
        <v>320</v>
      </c>
      <c r="B26" s="342">
        <f>B25</f>
        <v>0</v>
      </c>
      <c r="C26" s="342">
        <f>B26/12</f>
        <v>0</v>
      </c>
      <c r="D26" s="636" t="e">
        <f>C26/assumptions!$B$4</f>
        <v>#DIV/0!</v>
      </c>
      <c r="E26" s="342" t="e">
        <f>B26/assumptions!$B$4</f>
        <v>#DIV/0!</v>
      </c>
    </row>
    <row r="27" spans="1:5" x14ac:dyDescent="0.2">
      <c r="B27" s="14"/>
      <c r="C27" s="193"/>
      <c r="D27" s="635"/>
      <c r="E27" s="201"/>
    </row>
    <row r="28" spans="1:5" ht="15" x14ac:dyDescent="0.25">
      <c r="A28" s="62" t="s">
        <v>321</v>
      </c>
      <c r="B28" s="14"/>
      <c r="C28" s="193"/>
      <c r="D28" s="635"/>
      <c r="E28" s="201"/>
    </row>
    <row r="29" spans="1:5" x14ac:dyDescent="0.2">
      <c r="A29" s="63" t="s">
        <v>322</v>
      </c>
      <c r="B29" s="136">
        <v>0</v>
      </c>
      <c r="C29" s="193">
        <f t="shared" ref="C29:C37" si="3">B29/12</f>
        <v>0</v>
      </c>
      <c r="D29" s="635" t="e">
        <f>C29/assumptions!$B$4</f>
        <v>#DIV/0!</v>
      </c>
      <c r="E29" s="193" t="e">
        <f>B29/assumptions!$B$4</f>
        <v>#DIV/0!</v>
      </c>
    </row>
    <row r="30" spans="1:5" x14ac:dyDescent="0.2">
      <c r="A30" s="63" t="s">
        <v>323</v>
      </c>
      <c r="B30" s="136">
        <v>0</v>
      </c>
      <c r="C30" s="193">
        <f t="shared" si="3"/>
        <v>0</v>
      </c>
      <c r="D30" s="635" t="e">
        <f>C30/assumptions!$B$4</f>
        <v>#DIV/0!</v>
      </c>
      <c r="E30" s="193" t="e">
        <f>B30/assumptions!$B$4</f>
        <v>#DIV/0!</v>
      </c>
    </row>
    <row r="31" spans="1:5" x14ac:dyDescent="0.2">
      <c r="A31" s="63" t="s">
        <v>324</v>
      </c>
      <c r="B31" s="136">
        <v>0</v>
      </c>
      <c r="C31" s="193">
        <f t="shared" si="3"/>
        <v>0</v>
      </c>
      <c r="D31" s="635" t="e">
        <f>C31/assumptions!$B$4</f>
        <v>#DIV/0!</v>
      </c>
      <c r="E31" s="193" t="e">
        <f>B31/assumptions!$B$4</f>
        <v>#DIV/0!</v>
      </c>
    </row>
    <row r="32" spans="1:5" x14ac:dyDescent="0.2">
      <c r="A32" s="63" t="s">
        <v>325</v>
      </c>
      <c r="B32" s="143">
        <v>0</v>
      </c>
      <c r="C32" s="193">
        <f t="shared" si="3"/>
        <v>0</v>
      </c>
      <c r="D32" s="635" t="e">
        <f>C32/assumptions!$B$4</f>
        <v>#DIV/0!</v>
      </c>
      <c r="E32" s="193" t="e">
        <f>B32/assumptions!$B$4</f>
        <v>#DIV/0!</v>
      </c>
    </row>
    <row r="33" spans="1:5" x14ac:dyDescent="0.2">
      <c r="A33" s="63" t="s">
        <v>326</v>
      </c>
      <c r="B33" s="143">
        <v>0</v>
      </c>
      <c r="C33" s="193">
        <f t="shared" ref="C33" si="4">B33/12</f>
        <v>0</v>
      </c>
      <c r="D33" s="635" t="e">
        <f>C33/assumptions!$B$4</f>
        <v>#DIV/0!</v>
      </c>
      <c r="E33" s="193" t="e">
        <f>B33/assumptions!$B$4</f>
        <v>#DIV/0!</v>
      </c>
    </row>
    <row r="34" spans="1:5" outlineLevel="1" x14ac:dyDescent="0.2">
      <c r="A34" s="258" t="s">
        <v>78</v>
      </c>
      <c r="B34" s="143">
        <v>0</v>
      </c>
      <c r="C34" s="193">
        <f t="shared" si="3"/>
        <v>0</v>
      </c>
      <c r="D34" s="635" t="e">
        <f>C34/assumptions!$B$4</f>
        <v>#DIV/0!</v>
      </c>
      <c r="E34" s="193" t="e">
        <f>B34/assumptions!$B$4</f>
        <v>#DIV/0!</v>
      </c>
    </row>
    <row r="35" spans="1:5" outlineLevel="1" x14ac:dyDescent="0.2">
      <c r="A35" s="258" t="s">
        <v>78</v>
      </c>
      <c r="B35" s="143">
        <v>0</v>
      </c>
      <c r="C35" s="193">
        <f>B35/12</f>
        <v>0</v>
      </c>
      <c r="D35" s="635" t="e">
        <f>C35/assumptions!$B$4</f>
        <v>#DIV/0!</v>
      </c>
      <c r="E35" s="193" t="e">
        <f>B35/assumptions!$B$4</f>
        <v>#DIV/0!</v>
      </c>
    </row>
    <row r="36" spans="1:5" outlineLevel="1" x14ac:dyDescent="0.2">
      <c r="A36" s="258" t="s">
        <v>78</v>
      </c>
      <c r="B36" s="143">
        <v>0</v>
      </c>
      <c r="C36" s="193">
        <f t="shared" si="3"/>
        <v>0</v>
      </c>
      <c r="D36" s="635" t="e">
        <f>C36/assumptions!$B$4</f>
        <v>#DIV/0!</v>
      </c>
      <c r="E36" s="193" t="e">
        <f>B36/assumptions!$B$4</f>
        <v>#DIV/0!</v>
      </c>
    </row>
    <row r="37" spans="1:5" outlineLevel="1" x14ac:dyDescent="0.2">
      <c r="A37" s="258" t="s">
        <v>78</v>
      </c>
      <c r="B37" s="143">
        <v>0</v>
      </c>
      <c r="C37" s="193">
        <f t="shared" si="3"/>
        <v>0</v>
      </c>
      <c r="D37" s="635" t="e">
        <f>C37/assumptions!$B$4</f>
        <v>#DIV/0!</v>
      </c>
      <c r="E37" s="193" t="e">
        <f>B37/assumptions!$B$4</f>
        <v>#DIV/0!</v>
      </c>
    </row>
    <row r="38" spans="1:5" ht="15" thickBot="1" x14ac:dyDescent="0.25">
      <c r="A38" s="343" t="s">
        <v>327</v>
      </c>
      <c r="B38" s="341">
        <f>SUM(B29:B37)</f>
        <v>0</v>
      </c>
      <c r="C38" s="341">
        <f>B38/12</f>
        <v>0</v>
      </c>
      <c r="D38" s="638" t="e">
        <f>C38/assumptions!$B$4</f>
        <v>#DIV/0!</v>
      </c>
      <c r="E38" s="510" t="e">
        <f>B38/assumptions!$B$4</f>
        <v>#DIV/0!</v>
      </c>
    </row>
    <row r="39" spans="1:5" x14ac:dyDescent="0.2">
      <c r="B39" s="14"/>
      <c r="C39" s="193"/>
      <c r="D39" s="635"/>
      <c r="E39" s="203"/>
    </row>
    <row r="40" spans="1:5" ht="15" x14ac:dyDescent="0.25">
      <c r="A40" s="62" t="s">
        <v>328</v>
      </c>
      <c r="B40" s="14"/>
      <c r="C40" s="193"/>
      <c r="D40" s="635"/>
      <c r="E40" s="201"/>
    </row>
    <row r="41" spans="1:5" ht="28.5" x14ac:dyDescent="0.2">
      <c r="A41" s="66" t="s">
        <v>329</v>
      </c>
      <c r="B41" s="136">
        <v>0</v>
      </c>
      <c r="C41" s="193">
        <f>B41/12</f>
        <v>0</v>
      </c>
      <c r="D41" s="635" t="e">
        <f>C41/assumptions!$B$4</f>
        <v>#DIV/0!</v>
      </c>
      <c r="E41" s="193" t="e">
        <f>B41/assumptions!$B$4</f>
        <v>#DIV/0!</v>
      </c>
    </row>
    <row r="42" spans="1:5" x14ac:dyDescent="0.2">
      <c r="A42" s="63" t="s">
        <v>330</v>
      </c>
      <c r="B42" s="136">
        <v>0</v>
      </c>
      <c r="C42" s="193">
        <f t="shared" ref="C42:C53" si="5">B42/12</f>
        <v>0</v>
      </c>
      <c r="D42" s="635" t="e">
        <f>C42/assumptions!$B$4</f>
        <v>#DIV/0!</v>
      </c>
      <c r="E42" s="193" t="e">
        <f>B42/assumptions!$B$4</f>
        <v>#DIV/0!</v>
      </c>
    </row>
    <row r="43" spans="1:5" ht="28.5" x14ac:dyDescent="0.2">
      <c r="A43" s="66" t="s">
        <v>331</v>
      </c>
      <c r="B43" s="136">
        <v>0</v>
      </c>
      <c r="C43" s="193">
        <f t="shared" si="5"/>
        <v>0</v>
      </c>
      <c r="D43" s="635" t="e">
        <f>C43/assumptions!$B$4</f>
        <v>#DIV/0!</v>
      </c>
      <c r="E43" s="193" t="e">
        <f>B43/assumptions!$B$4</f>
        <v>#DIV/0!</v>
      </c>
    </row>
    <row r="44" spans="1:5" x14ac:dyDescent="0.2">
      <c r="A44" s="63" t="s">
        <v>332</v>
      </c>
      <c r="B44" s="136">
        <v>0</v>
      </c>
      <c r="C44" s="193">
        <f t="shared" si="5"/>
        <v>0</v>
      </c>
      <c r="D44" s="635" t="e">
        <f>C44/assumptions!$B$4</f>
        <v>#DIV/0!</v>
      </c>
      <c r="E44" s="193" t="e">
        <f>B44/assumptions!$B$4</f>
        <v>#DIV/0!</v>
      </c>
    </row>
    <row r="45" spans="1:5" x14ac:dyDescent="0.2">
      <c r="A45" s="63" t="s">
        <v>333</v>
      </c>
      <c r="B45" s="136">
        <v>0</v>
      </c>
      <c r="C45" s="193">
        <f t="shared" si="5"/>
        <v>0</v>
      </c>
      <c r="D45" s="635" t="e">
        <f>C45/assumptions!$B$4</f>
        <v>#DIV/0!</v>
      </c>
      <c r="E45" s="193" t="e">
        <f>B45/assumptions!$B$4</f>
        <v>#DIV/0!</v>
      </c>
    </row>
    <row r="46" spans="1:5" x14ac:dyDescent="0.2">
      <c r="A46" s="63" t="s">
        <v>334</v>
      </c>
      <c r="B46" s="136">
        <v>0</v>
      </c>
      <c r="C46" s="193">
        <f t="shared" si="5"/>
        <v>0</v>
      </c>
      <c r="D46" s="635" t="e">
        <f>C46/assumptions!$B$4</f>
        <v>#DIV/0!</v>
      </c>
      <c r="E46" s="193" t="e">
        <f>B46/assumptions!$B$4</f>
        <v>#DIV/0!</v>
      </c>
    </row>
    <row r="47" spans="1:5" x14ac:dyDescent="0.2">
      <c r="A47" s="66" t="s">
        <v>335</v>
      </c>
      <c r="B47" s="136">
        <v>0</v>
      </c>
      <c r="C47" s="193">
        <f t="shared" si="5"/>
        <v>0</v>
      </c>
      <c r="D47" s="635" t="e">
        <f>C47/assumptions!$B$4</f>
        <v>#DIV/0!</v>
      </c>
      <c r="E47" s="193" t="e">
        <f>B47/assumptions!$B$4</f>
        <v>#DIV/0!</v>
      </c>
    </row>
    <row r="48" spans="1:5" ht="28.5" x14ac:dyDescent="0.2">
      <c r="A48" s="66" t="s">
        <v>336</v>
      </c>
      <c r="B48" s="143">
        <v>0</v>
      </c>
      <c r="C48" s="193">
        <f t="shared" ref="C48" si="6">B48/12</f>
        <v>0</v>
      </c>
      <c r="D48" s="635" t="e">
        <f>C48/assumptions!$B$4</f>
        <v>#DIV/0!</v>
      </c>
      <c r="E48" s="193" t="e">
        <f>B48/assumptions!$B$4</f>
        <v>#DIV/0!</v>
      </c>
    </row>
    <row r="49" spans="1:5" outlineLevel="1" x14ac:dyDescent="0.2">
      <c r="A49" s="258" t="s">
        <v>78</v>
      </c>
      <c r="B49" s="143">
        <v>0</v>
      </c>
      <c r="C49" s="193">
        <f t="shared" ref="C49:C52" si="7">B49/12</f>
        <v>0</v>
      </c>
      <c r="D49" s="635" t="e">
        <f>C49/assumptions!$B$4</f>
        <v>#DIV/0!</v>
      </c>
      <c r="E49" s="193" t="e">
        <f>B49/assumptions!$B$4</f>
        <v>#DIV/0!</v>
      </c>
    </row>
    <row r="50" spans="1:5" outlineLevel="1" x14ac:dyDescent="0.2">
      <c r="A50" s="258" t="s">
        <v>78</v>
      </c>
      <c r="B50" s="143">
        <v>0</v>
      </c>
      <c r="C50" s="193">
        <f t="shared" si="7"/>
        <v>0</v>
      </c>
      <c r="D50" s="635" t="e">
        <f>C50/assumptions!$B$4</f>
        <v>#DIV/0!</v>
      </c>
      <c r="E50" s="193" t="e">
        <f>B50/assumptions!$B$4</f>
        <v>#DIV/0!</v>
      </c>
    </row>
    <row r="51" spans="1:5" outlineLevel="1" x14ac:dyDescent="0.2">
      <c r="A51" s="258" t="s">
        <v>78</v>
      </c>
      <c r="B51" s="143">
        <v>0</v>
      </c>
      <c r="C51" s="193">
        <f t="shared" si="7"/>
        <v>0</v>
      </c>
      <c r="D51" s="635" t="e">
        <f>C51/assumptions!$B$4</f>
        <v>#DIV/0!</v>
      </c>
      <c r="E51" s="193" t="e">
        <f>B51/assumptions!$B$4</f>
        <v>#DIV/0!</v>
      </c>
    </row>
    <row r="52" spans="1:5" outlineLevel="1" x14ac:dyDescent="0.2">
      <c r="A52" s="258" t="s">
        <v>78</v>
      </c>
      <c r="B52" s="143">
        <v>0</v>
      </c>
      <c r="C52" s="193">
        <f t="shared" si="7"/>
        <v>0</v>
      </c>
      <c r="D52" s="635" t="e">
        <f>C52/assumptions!$B$4</f>
        <v>#DIV/0!</v>
      </c>
      <c r="E52" s="193" t="e">
        <f>B52/assumptions!$B$4</f>
        <v>#DIV/0!</v>
      </c>
    </row>
    <row r="53" spans="1:5" outlineLevel="1" x14ac:dyDescent="0.2">
      <c r="A53" s="258" t="s">
        <v>78</v>
      </c>
      <c r="B53" s="143">
        <v>0</v>
      </c>
      <c r="C53" s="255">
        <f t="shared" si="5"/>
        <v>0</v>
      </c>
      <c r="D53" s="635" t="e">
        <f>C53/assumptions!$B$4</f>
        <v>#DIV/0!</v>
      </c>
      <c r="E53" s="193" t="e">
        <f>B53/assumptions!$B$4</f>
        <v>#DIV/0!</v>
      </c>
    </row>
    <row r="54" spans="1:5" ht="15" thickBot="1" x14ac:dyDescent="0.25">
      <c r="A54" s="343" t="s">
        <v>337</v>
      </c>
      <c r="B54" s="341">
        <f>SUM(B41:B53)</f>
        <v>0</v>
      </c>
      <c r="C54" s="341">
        <f>B54/12</f>
        <v>0</v>
      </c>
      <c r="D54" s="638" t="e">
        <f>C54/assumptions!$B$4</f>
        <v>#DIV/0!</v>
      </c>
      <c r="E54" s="341" t="e">
        <f>B54/assumptions!$B$4</f>
        <v>#DIV/0!</v>
      </c>
    </row>
    <row r="55" spans="1:5" x14ac:dyDescent="0.2">
      <c r="B55" s="14"/>
      <c r="C55" s="193"/>
      <c r="D55" s="635"/>
      <c r="E55" s="201"/>
    </row>
    <row r="56" spans="1:5" ht="15" x14ac:dyDescent="0.25">
      <c r="A56" s="25" t="s">
        <v>338</v>
      </c>
      <c r="B56" s="14"/>
      <c r="C56" s="193"/>
      <c r="D56" s="635"/>
      <c r="E56" s="201"/>
    </row>
    <row r="57" spans="1:5" x14ac:dyDescent="0.2">
      <c r="A57" s="63" t="s">
        <v>339</v>
      </c>
      <c r="B57" s="136">
        <v>0</v>
      </c>
      <c r="C57" s="193">
        <f>B57/12</f>
        <v>0</v>
      </c>
      <c r="D57" s="635" t="e">
        <f>C57/assumptions!$B$4</f>
        <v>#DIV/0!</v>
      </c>
      <c r="E57" s="193" t="e">
        <f>B57/assumptions!$B$4</f>
        <v>#DIV/0!</v>
      </c>
    </row>
    <row r="58" spans="1:5" ht="28.5" x14ac:dyDescent="0.2">
      <c r="A58" s="66" t="s">
        <v>340</v>
      </c>
      <c r="B58" s="136">
        <v>0</v>
      </c>
      <c r="C58" s="193">
        <f t="shared" ref="C58:C66" si="8">B58/12</f>
        <v>0</v>
      </c>
      <c r="D58" s="635" t="e">
        <f>C58/assumptions!$B$4</f>
        <v>#DIV/0!</v>
      </c>
      <c r="E58" s="193" t="e">
        <f>B58/assumptions!$B$4</f>
        <v>#DIV/0!</v>
      </c>
    </row>
    <row r="59" spans="1:5" x14ac:dyDescent="0.2">
      <c r="A59" s="13" t="s">
        <v>341</v>
      </c>
      <c r="B59" s="136">
        <v>0</v>
      </c>
      <c r="C59" s="193">
        <f t="shared" si="8"/>
        <v>0</v>
      </c>
      <c r="D59" s="635" t="e">
        <f>C59/assumptions!$B$4</f>
        <v>#DIV/0!</v>
      </c>
      <c r="E59" s="193" t="e">
        <f>B59/assumptions!$B$4</f>
        <v>#DIV/0!</v>
      </c>
    </row>
    <row r="60" spans="1:5" x14ac:dyDescent="0.2">
      <c r="A60" s="13" t="s">
        <v>342</v>
      </c>
      <c r="B60" s="136">
        <v>0</v>
      </c>
      <c r="C60" s="193">
        <f t="shared" si="8"/>
        <v>0</v>
      </c>
      <c r="D60" s="635" t="e">
        <f>C60/assumptions!$B$4</f>
        <v>#DIV/0!</v>
      </c>
      <c r="E60" s="193" t="e">
        <f>B60/assumptions!$B$4</f>
        <v>#DIV/0!</v>
      </c>
    </row>
    <row r="61" spans="1:5" x14ac:dyDescent="0.2">
      <c r="A61" s="13" t="s">
        <v>343</v>
      </c>
      <c r="B61" s="136">
        <v>0</v>
      </c>
      <c r="C61" s="193">
        <f t="shared" si="8"/>
        <v>0</v>
      </c>
      <c r="D61" s="635" t="e">
        <f>C61/assumptions!$B$4</f>
        <v>#DIV/0!</v>
      </c>
      <c r="E61" s="193" t="e">
        <f>B61/assumptions!$B$4</f>
        <v>#DIV/0!</v>
      </c>
    </row>
    <row r="62" spans="1:5" x14ac:dyDescent="0.2">
      <c r="A62" s="66" t="s">
        <v>344</v>
      </c>
      <c r="B62" s="136">
        <v>0</v>
      </c>
      <c r="C62" s="255">
        <f t="shared" si="8"/>
        <v>0</v>
      </c>
      <c r="D62" s="635" t="e">
        <f>C62/assumptions!$B$4</f>
        <v>#DIV/0!</v>
      </c>
      <c r="E62" s="193" t="e">
        <f>B62/assumptions!$B$4</f>
        <v>#DIV/0!</v>
      </c>
    </row>
    <row r="63" spans="1:5" outlineLevel="1" x14ac:dyDescent="0.2">
      <c r="A63" s="258" t="s">
        <v>78</v>
      </c>
      <c r="B63" s="136">
        <v>0</v>
      </c>
      <c r="C63" s="255">
        <f t="shared" ref="C63:C65" si="9">B63/12</f>
        <v>0</v>
      </c>
      <c r="D63" s="635" t="e">
        <f>C63/assumptions!$B$4</f>
        <v>#DIV/0!</v>
      </c>
      <c r="E63" s="193" t="e">
        <f>B63/assumptions!$B$4</f>
        <v>#DIV/0!</v>
      </c>
    </row>
    <row r="64" spans="1:5" outlineLevel="1" x14ac:dyDescent="0.2">
      <c r="A64" s="258" t="s">
        <v>78</v>
      </c>
      <c r="B64" s="136">
        <v>0</v>
      </c>
      <c r="C64" s="255">
        <f t="shared" si="9"/>
        <v>0</v>
      </c>
      <c r="D64" s="635" t="e">
        <f>C64/assumptions!$B$4</f>
        <v>#DIV/0!</v>
      </c>
      <c r="E64" s="193" t="e">
        <f>B64/assumptions!$B$4</f>
        <v>#DIV/0!</v>
      </c>
    </row>
    <row r="65" spans="1:6" outlineLevel="1" x14ac:dyDescent="0.2">
      <c r="A65" s="258" t="s">
        <v>78</v>
      </c>
      <c r="B65" s="143">
        <v>0</v>
      </c>
      <c r="C65" s="255">
        <f t="shared" si="9"/>
        <v>0</v>
      </c>
      <c r="D65" s="635" t="e">
        <f>C65/assumptions!$B$4</f>
        <v>#DIV/0!</v>
      </c>
      <c r="E65" s="193" t="e">
        <f>B65/assumptions!$B$4</f>
        <v>#DIV/0!</v>
      </c>
    </row>
    <row r="66" spans="1:6" ht="15" thickBot="1" x14ac:dyDescent="0.25">
      <c r="A66" s="345" t="s">
        <v>345</v>
      </c>
      <c r="B66" s="342">
        <f>SUM(B57:B65)</f>
        <v>0</v>
      </c>
      <c r="C66" s="342">
        <f t="shared" si="8"/>
        <v>0</v>
      </c>
      <c r="D66" s="636" t="e">
        <f>C66/assumptions!$B$4</f>
        <v>#DIV/0!</v>
      </c>
      <c r="E66" s="342" t="e">
        <f>B66/assumptions!$B$4</f>
        <v>#DIV/0!</v>
      </c>
    </row>
    <row r="67" spans="1:6" x14ac:dyDescent="0.2">
      <c r="A67" s="63"/>
      <c r="B67" s="14"/>
      <c r="C67" s="193"/>
      <c r="D67" s="635"/>
      <c r="E67" s="201"/>
    </row>
    <row r="68" spans="1:6" ht="15" x14ac:dyDescent="0.25">
      <c r="A68" s="344" t="s">
        <v>346</v>
      </c>
      <c r="B68" s="14"/>
      <c r="C68" s="193"/>
      <c r="D68" s="635"/>
      <c r="E68" s="201"/>
    </row>
    <row r="69" spans="1:6" x14ac:dyDescent="0.2">
      <c r="A69" s="13" t="s">
        <v>347</v>
      </c>
      <c r="B69" s="231">
        <f>amortizations!B10</f>
        <v>0</v>
      </c>
      <c r="C69" s="193">
        <f>B69/12</f>
        <v>0</v>
      </c>
      <c r="D69" s="635" t="e">
        <f>C69/assumptions!$B$4</f>
        <v>#DIV/0!</v>
      </c>
      <c r="E69" s="193" t="e">
        <f>B69/assumptions!$B$4</f>
        <v>#DIV/0!</v>
      </c>
    </row>
    <row r="70" spans="1:6" x14ac:dyDescent="0.2">
      <c r="A70" s="13" t="s">
        <v>348</v>
      </c>
      <c r="B70" s="136">
        <f>amortizations!B27</f>
        <v>0</v>
      </c>
      <c r="C70" s="193">
        <f>B70/12</f>
        <v>0</v>
      </c>
      <c r="D70" s="635" t="e">
        <f>C70/assumptions!$B$4</f>
        <v>#DIV/0!</v>
      </c>
      <c r="E70" s="193" t="e">
        <f>B70/assumptions!$B$4</f>
        <v>#DIV/0!</v>
      </c>
    </row>
    <row r="71" spans="1:6" x14ac:dyDescent="0.2">
      <c r="A71" s="13" t="s">
        <v>349</v>
      </c>
      <c r="B71" s="136">
        <v>0</v>
      </c>
      <c r="C71" s="255">
        <f>B71/12</f>
        <v>0</v>
      </c>
      <c r="D71" s="635" t="e">
        <f>C71/assumptions!$B$4</f>
        <v>#DIV/0!</v>
      </c>
      <c r="E71" s="193" t="e">
        <f>B71/assumptions!$B$4</f>
        <v>#DIV/0!</v>
      </c>
    </row>
    <row r="72" spans="1:6" outlineLevel="1" x14ac:dyDescent="0.2">
      <c r="A72" s="258" t="s">
        <v>78</v>
      </c>
      <c r="B72" s="136">
        <v>0</v>
      </c>
      <c r="C72" s="255">
        <f>B72/12</f>
        <v>0</v>
      </c>
      <c r="D72" s="635" t="e">
        <f>C72/assumptions!$B$4</f>
        <v>#DIV/0!</v>
      </c>
      <c r="E72" s="193" t="e">
        <f>B72/assumptions!$B$4</f>
        <v>#DIV/0!</v>
      </c>
    </row>
    <row r="73" spans="1:6" outlineLevel="1" x14ac:dyDescent="0.2">
      <c r="A73" s="258" t="s">
        <v>78</v>
      </c>
      <c r="B73" s="136">
        <v>0</v>
      </c>
      <c r="C73" s="255">
        <f t="shared" ref="C73:C74" si="10">B73/12</f>
        <v>0</v>
      </c>
      <c r="D73" s="635" t="e">
        <f>C73/assumptions!$B$4</f>
        <v>#DIV/0!</v>
      </c>
      <c r="E73" s="193" t="e">
        <f>B73/assumptions!$B$4</f>
        <v>#DIV/0!</v>
      </c>
    </row>
    <row r="74" spans="1:6" outlineLevel="1" x14ac:dyDescent="0.2">
      <c r="A74" s="258" t="s">
        <v>78</v>
      </c>
      <c r="B74" s="143">
        <v>0</v>
      </c>
      <c r="C74" s="255">
        <f t="shared" si="10"/>
        <v>0</v>
      </c>
      <c r="D74" s="635" t="e">
        <f>C74/assumptions!$B$4</f>
        <v>#DIV/0!</v>
      </c>
      <c r="E74" s="193" t="e">
        <f>B74/assumptions!$B$4</f>
        <v>#DIV/0!</v>
      </c>
    </row>
    <row r="75" spans="1:6" ht="15" thickBot="1" x14ac:dyDescent="0.25">
      <c r="A75" s="343" t="s">
        <v>350</v>
      </c>
      <c r="B75" s="342">
        <f>SUM(B69:B74)</f>
        <v>0</v>
      </c>
      <c r="C75" s="342">
        <f>B75/12</f>
        <v>0</v>
      </c>
      <c r="D75" s="636" t="e">
        <f>C75/assumptions!$B$4</f>
        <v>#DIV/0!</v>
      </c>
      <c r="E75" s="342" t="e">
        <f>B75/assumptions!$B$4</f>
        <v>#DIV/0!</v>
      </c>
    </row>
    <row r="76" spans="1:6" x14ac:dyDescent="0.2">
      <c r="A76" s="27"/>
      <c r="B76" s="16"/>
      <c r="C76" s="222"/>
      <c r="D76" s="635"/>
      <c r="E76" s="201"/>
    </row>
    <row r="77" spans="1:6" ht="15" thickBot="1" x14ac:dyDescent="0.25">
      <c r="A77" s="65" t="s">
        <v>351</v>
      </c>
      <c r="B77" s="144">
        <v>0</v>
      </c>
      <c r="C77" s="230">
        <f>B77/12</f>
        <v>0</v>
      </c>
      <c r="D77" s="639" t="e">
        <f>C77/assumptions!$B$4</f>
        <v>#DIV/0!</v>
      </c>
      <c r="E77" s="230" t="e">
        <f>B77/assumptions!$B$4</f>
        <v>#DIV/0!</v>
      </c>
      <c r="F77" s="67" t="s">
        <v>352</v>
      </c>
    </row>
    <row r="78" spans="1:6" x14ac:dyDescent="0.2">
      <c r="B78" s="14"/>
      <c r="C78" s="193"/>
      <c r="D78" s="635"/>
      <c r="E78" s="201"/>
      <c r="F78" s="68" t="s">
        <v>353</v>
      </c>
    </row>
    <row r="79" spans="1:6" ht="16.5" customHeight="1" thickBot="1" x14ac:dyDescent="0.25">
      <c r="A79" s="69" t="s">
        <v>277</v>
      </c>
      <c r="B79" s="232">
        <f>B77+B75+B66+B54+B38+B26+B22</f>
        <v>0</v>
      </c>
      <c r="C79" s="232">
        <f>B79/12</f>
        <v>0</v>
      </c>
      <c r="D79" s="640" t="e">
        <f>C79/assumptions!$B$4</f>
        <v>#DIV/0!</v>
      </c>
      <c r="E79" s="232" t="e">
        <f>B79/assumptions!$B$4</f>
        <v>#DIV/0!</v>
      </c>
      <c r="F79" s="233" t="e">
        <f>D22+D26+D38+D54+D66</f>
        <v>#DIV/0!</v>
      </c>
    </row>
    <row r="80" spans="1:6" ht="15" thickTop="1" x14ac:dyDescent="0.2"/>
  </sheetData>
  <sheetProtection algorithmName="SHA-512" hashValue="1EZfF37ODiyPht0jgXxIUE1zeQH9/sK6QilxGp24BwVVCA5swgSRZanovr0yCZ9IkJ5EVrGH/cg7X8NfGu3xYg==" saltValue="ROsiKfUkoeW5g7EOWR/gOg==" spinCount="100000" sheet="1" formatCells="0" formatColumns="0" formatRows="0" insertRows="0"/>
  <sortState xmlns:xlrd2="http://schemas.microsoft.com/office/spreadsheetml/2017/richdata2" ref="A40:F47">
    <sortCondition ref="A40:A47"/>
  </sortState>
  <phoneticPr fontId="0" type="noConversion"/>
  <dataValidations disablePrompts="1" count="1">
    <dataValidation allowBlank="1" showErrorMessage="1" error="Enter whole numbers" sqref="B5:B21" xr:uid="{51F1AA4D-B975-4024-882C-596E62FACBCF}"/>
  </dataValidations>
  <pageMargins left="0.75" right="0.75" top="1" bottom="1" header="0.5" footer="0.5"/>
  <pageSetup scale="77" orientation="portrait" r:id="rId1"/>
  <headerFooter alignWithMargins="0">
    <oddFooter>&amp;L&amp;F
&amp;D&amp;T&amp;R&amp;"Times New Roman,Regular"&amp;8revision date:  8/6/2007</oddFooter>
  </headerFooter>
  <ignoredErrors>
    <ignoredError sqref="C36:E37 C34:E34 C5:E21 C79 E79 C39:E78 C38 C23:E32 E22" evalError="1"/>
    <ignoredError sqref="B70"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F81"/>
  <sheetViews>
    <sheetView zoomScale="81" zoomScaleNormal="81" workbookViewId="0">
      <pane ySplit="2" topLeftCell="A15" activePane="bottomLeft" state="frozen"/>
      <selection pane="bottomLeft" activeCell="C26" sqref="C26"/>
    </sheetView>
  </sheetViews>
  <sheetFormatPr defaultColWidth="8.6640625" defaultRowHeight="14.25" x14ac:dyDescent="0.2"/>
  <cols>
    <col min="1" max="1" width="31.21875" style="12" bestFit="1" customWidth="1"/>
    <col min="2" max="3" width="9.88671875" style="12" customWidth="1"/>
    <col min="4" max="5" width="9.77734375" style="12" customWidth="1"/>
    <col min="6" max="12" width="8.77734375" style="12" bestFit="1" customWidth="1"/>
    <col min="13" max="13" width="8.6640625" style="12" customWidth="1"/>
    <col min="14" max="16" width="8.77734375" style="12" bestFit="1" customWidth="1"/>
    <col min="17" max="17" width="10.109375" style="12" customWidth="1"/>
    <col min="18" max="26" width="8.77734375" style="12" bestFit="1" customWidth="1"/>
    <col min="27" max="27" width="10" style="12" bestFit="1" customWidth="1"/>
    <col min="28" max="28" width="8.77734375" style="12" bestFit="1" customWidth="1"/>
    <col min="29" max="16384" width="8.6640625" style="12"/>
  </cols>
  <sheetData>
    <row r="1" spans="1:32" ht="15" x14ac:dyDescent="0.25">
      <c r="A1" s="199" t="str">
        <f>assumptions!B2</f>
        <v>enter date</v>
      </c>
      <c r="B1" s="200" t="str">
        <f>assumptions!B1</f>
        <v>enter project name</v>
      </c>
      <c r="C1" s="75"/>
      <c r="D1" s="58"/>
      <c r="E1" s="58"/>
      <c r="F1" s="76"/>
      <c r="G1" s="58"/>
      <c r="H1" s="58"/>
      <c r="I1" s="58"/>
      <c r="J1" s="58"/>
      <c r="K1" s="58"/>
      <c r="L1" s="58"/>
      <c r="M1" s="58"/>
      <c r="N1" s="58"/>
      <c r="O1" s="58"/>
      <c r="P1" s="58"/>
      <c r="Q1" s="58"/>
      <c r="R1" s="58"/>
      <c r="S1" s="58"/>
      <c r="T1" s="58"/>
      <c r="U1" s="58"/>
      <c r="V1" s="58"/>
      <c r="W1" s="58"/>
      <c r="X1" s="58"/>
      <c r="Y1" s="58"/>
      <c r="Z1" s="76" t="s">
        <v>354</v>
      </c>
      <c r="AA1" s="242">
        <f ca="1">NOW()</f>
        <v>46055.67488958333</v>
      </c>
      <c r="AB1" s="58"/>
      <c r="AC1" s="58"/>
      <c r="AD1" s="58"/>
      <c r="AE1" s="58"/>
      <c r="AF1" s="58"/>
    </row>
    <row r="2" spans="1:32" x14ac:dyDescent="0.2">
      <c r="A2" s="58"/>
      <c r="B2" s="77" t="s">
        <v>355</v>
      </c>
      <c r="C2" s="241">
        <v>1</v>
      </c>
      <c r="D2" s="241">
        <f t="shared" ref="D2:S2" si="0">C2+1</f>
        <v>2</v>
      </c>
      <c r="E2" s="241">
        <f t="shared" si="0"/>
        <v>3</v>
      </c>
      <c r="F2" s="241">
        <f t="shared" si="0"/>
        <v>4</v>
      </c>
      <c r="G2" s="241">
        <f t="shared" si="0"/>
        <v>5</v>
      </c>
      <c r="H2" s="241">
        <f t="shared" si="0"/>
        <v>6</v>
      </c>
      <c r="I2" s="241">
        <f t="shared" si="0"/>
        <v>7</v>
      </c>
      <c r="J2" s="241">
        <f t="shared" si="0"/>
        <v>8</v>
      </c>
      <c r="K2" s="241">
        <f t="shared" si="0"/>
        <v>9</v>
      </c>
      <c r="L2" s="241">
        <f t="shared" si="0"/>
        <v>10</v>
      </c>
      <c r="M2" s="241">
        <f t="shared" si="0"/>
        <v>11</v>
      </c>
      <c r="N2" s="241">
        <f t="shared" si="0"/>
        <v>12</v>
      </c>
      <c r="O2" s="241">
        <f t="shared" si="0"/>
        <v>13</v>
      </c>
      <c r="P2" s="241">
        <f t="shared" si="0"/>
        <v>14</v>
      </c>
      <c r="Q2" s="241">
        <f t="shared" si="0"/>
        <v>15</v>
      </c>
      <c r="R2" s="241">
        <f t="shared" si="0"/>
        <v>16</v>
      </c>
      <c r="S2" s="241">
        <f t="shared" si="0"/>
        <v>17</v>
      </c>
      <c r="T2" s="241">
        <f t="shared" ref="T2:AF2" si="1">S2+1</f>
        <v>18</v>
      </c>
      <c r="U2" s="241">
        <f t="shared" si="1"/>
        <v>19</v>
      </c>
      <c r="V2" s="241">
        <f t="shared" si="1"/>
        <v>20</v>
      </c>
      <c r="W2" s="241">
        <f t="shared" si="1"/>
        <v>21</v>
      </c>
      <c r="X2" s="241">
        <f t="shared" si="1"/>
        <v>22</v>
      </c>
      <c r="Y2" s="241">
        <f t="shared" si="1"/>
        <v>23</v>
      </c>
      <c r="Z2" s="241">
        <f t="shared" si="1"/>
        <v>24</v>
      </c>
      <c r="AA2" s="241">
        <f t="shared" si="1"/>
        <v>25</v>
      </c>
      <c r="AB2" s="241">
        <f t="shared" si="1"/>
        <v>26</v>
      </c>
      <c r="AC2" s="241">
        <f t="shared" si="1"/>
        <v>27</v>
      </c>
      <c r="AD2" s="241">
        <f t="shared" si="1"/>
        <v>28</v>
      </c>
      <c r="AE2" s="241">
        <f t="shared" si="1"/>
        <v>29</v>
      </c>
      <c r="AF2" s="241">
        <f t="shared" si="1"/>
        <v>30</v>
      </c>
    </row>
    <row r="3" spans="1:32" s="22" customFormat="1" x14ac:dyDescent="0.2">
      <c r="A3" s="78"/>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row>
    <row r="4" spans="1:32" x14ac:dyDescent="0.2">
      <c r="A4" s="12" t="s">
        <v>356</v>
      </c>
    </row>
    <row r="5" spans="1:32" x14ac:dyDescent="0.2">
      <c r="A5" s="27" t="s">
        <v>357</v>
      </c>
      <c r="B5" s="34">
        <f>IF(assumptions!$F$4=0,assumptions!$E$4,assumptions!$F$4)</f>
        <v>0.01</v>
      </c>
      <c r="C5" s="193">
        <f>'rent summary'!G25</f>
        <v>0</v>
      </c>
      <c r="D5" s="201">
        <f>C5*(1+$B$5)</f>
        <v>0</v>
      </c>
      <c r="E5" s="201">
        <f t="shared" ref="E5:AF5" si="2">D5*(1+$B$5)</f>
        <v>0</v>
      </c>
      <c r="F5" s="201">
        <f t="shared" si="2"/>
        <v>0</v>
      </c>
      <c r="G5" s="201">
        <f t="shared" si="2"/>
        <v>0</v>
      </c>
      <c r="H5" s="201">
        <f t="shared" si="2"/>
        <v>0</v>
      </c>
      <c r="I5" s="201">
        <f t="shared" si="2"/>
        <v>0</v>
      </c>
      <c r="J5" s="201">
        <f t="shared" si="2"/>
        <v>0</v>
      </c>
      <c r="K5" s="201">
        <f t="shared" si="2"/>
        <v>0</v>
      </c>
      <c r="L5" s="201">
        <f t="shared" si="2"/>
        <v>0</v>
      </c>
      <c r="M5" s="201">
        <f t="shared" si="2"/>
        <v>0</v>
      </c>
      <c r="N5" s="201">
        <f t="shared" si="2"/>
        <v>0</v>
      </c>
      <c r="O5" s="201">
        <f t="shared" si="2"/>
        <v>0</v>
      </c>
      <c r="P5" s="201">
        <f t="shared" si="2"/>
        <v>0</v>
      </c>
      <c r="Q5" s="201">
        <f t="shared" si="2"/>
        <v>0</v>
      </c>
      <c r="R5" s="201">
        <f t="shared" si="2"/>
        <v>0</v>
      </c>
      <c r="S5" s="201">
        <f t="shared" si="2"/>
        <v>0</v>
      </c>
      <c r="T5" s="201">
        <f t="shared" si="2"/>
        <v>0</v>
      </c>
      <c r="U5" s="201">
        <f t="shared" si="2"/>
        <v>0</v>
      </c>
      <c r="V5" s="201">
        <f t="shared" si="2"/>
        <v>0</v>
      </c>
      <c r="W5" s="201">
        <f t="shared" si="2"/>
        <v>0</v>
      </c>
      <c r="X5" s="201">
        <f t="shared" si="2"/>
        <v>0</v>
      </c>
      <c r="Y5" s="201">
        <f t="shared" si="2"/>
        <v>0</v>
      </c>
      <c r="Z5" s="201">
        <f t="shared" si="2"/>
        <v>0</v>
      </c>
      <c r="AA5" s="201">
        <f t="shared" si="2"/>
        <v>0</v>
      </c>
      <c r="AB5" s="201">
        <f t="shared" si="2"/>
        <v>0</v>
      </c>
      <c r="AC5" s="201">
        <f t="shared" si="2"/>
        <v>0</v>
      </c>
      <c r="AD5" s="201">
        <f t="shared" si="2"/>
        <v>0</v>
      </c>
      <c r="AE5" s="201">
        <f t="shared" si="2"/>
        <v>0</v>
      </c>
      <c r="AF5" s="201">
        <f t="shared" si="2"/>
        <v>0</v>
      </c>
    </row>
    <row r="6" spans="1:32" x14ac:dyDescent="0.2">
      <c r="A6" s="27" t="s">
        <v>358</v>
      </c>
      <c r="B6" s="239">
        <f>IF(assumptions!$F$5=0,assumptions!$E$5,assumptions!$F$5)</f>
        <v>0.01</v>
      </c>
      <c r="C6" s="193">
        <f>SUM('rent summary'!G32:G36)</f>
        <v>0</v>
      </c>
      <c r="D6" s="193">
        <f>C6*(1+$B$6)</f>
        <v>0</v>
      </c>
      <c r="E6" s="193">
        <f t="shared" ref="E6:AF6" si="3">D6*(1+$B$6)</f>
        <v>0</v>
      </c>
      <c r="F6" s="193">
        <f t="shared" si="3"/>
        <v>0</v>
      </c>
      <c r="G6" s="193">
        <f t="shared" si="3"/>
        <v>0</v>
      </c>
      <c r="H6" s="193">
        <f t="shared" si="3"/>
        <v>0</v>
      </c>
      <c r="I6" s="193">
        <f t="shared" si="3"/>
        <v>0</v>
      </c>
      <c r="J6" s="193">
        <f t="shared" si="3"/>
        <v>0</v>
      </c>
      <c r="K6" s="193">
        <f>J6*(1+$B$6)</f>
        <v>0</v>
      </c>
      <c r="L6" s="193">
        <f t="shared" si="3"/>
        <v>0</v>
      </c>
      <c r="M6" s="193">
        <f t="shared" si="3"/>
        <v>0</v>
      </c>
      <c r="N6" s="193">
        <f t="shared" si="3"/>
        <v>0</v>
      </c>
      <c r="O6" s="193">
        <f t="shared" si="3"/>
        <v>0</v>
      </c>
      <c r="P6" s="193">
        <f t="shared" si="3"/>
        <v>0</v>
      </c>
      <c r="Q6" s="193">
        <f t="shared" si="3"/>
        <v>0</v>
      </c>
      <c r="R6" s="193">
        <f t="shared" si="3"/>
        <v>0</v>
      </c>
      <c r="S6" s="193">
        <f t="shared" si="3"/>
        <v>0</v>
      </c>
      <c r="T6" s="193">
        <f t="shared" si="3"/>
        <v>0</v>
      </c>
      <c r="U6" s="193">
        <f t="shared" si="3"/>
        <v>0</v>
      </c>
      <c r="V6" s="193">
        <f t="shared" si="3"/>
        <v>0</v>
      </c>
      <c r="W6" s="193">
        <f t="shared" si="3"/>
        <v>0</v>
      </c>
      <c r="X6" s="193">
        <f t="shared" si="3"/>
        <v>0</v>
      </c>
      <c r="Y6" s="193">
        <f t="shared" si="3"/>
        <v>0</v>
      </c>
      <c r="Z6" s="193">
        <f t="shared" si="3"/>
        <v>0</v>
      </c>
      <c r="AA6" s="193">
        <f t="shared" si="3"/>
        <v>0</v>
      </c>
      <c r="AB6" s="193">
        <f t="shared" si="3"/>
        <v>0</v>
      </c>
      <c r="AC6" s="193">
        <f t="shared" si="3"/>
        <v>0</v>
      </c>
      <c r="AD6" s="193">
        <f t="shared" si="3"/>
        <v>0</v>
      </c>
      <c r="AE6" s="193">
        <f t="shared" si="3"/>
        <v>0</v>
      </c>
      <c r="AF6" s="193">
        <f t="shared" si="3"/>
        <v>0</v>
      </c>
    </row>
    <row r="7" spans="1:32" x14ac:dyDescent="0.2">
      <c r="A7" s="27" t="s">
        <v>359</v>
      </c>
      <c r="B7" s="239">
        <f>IF(assumptions!$F$9=0,assumptions!$E$9,assumptions!$F$9)</f>
        <v>0.05</v>
      </c>
      <c r="C7" s="193">
        <f>'rent summary'!G28</f>
        <v>0</v>
      </c>
      <c r="D7" s="193">
        <f>C7*(1+$B$7)</f>
        <v>0</v>
      </c>
      <c r="E7" s="193">
        <f t="shared" ref="E7:AF7" si="4">D7*(1+$B$7)</f>
        <v>0</v>
      </c>
      <c r="F7" s="193">
        <f t="shared" si="4"/>
        <v>0</v>
      </c>
      <c r="G7" s="193">
        <f t="shared" si="4"/>
        <v>0</v>
      </c>
      <c r="H7" s="193">
        <f t="shared" si="4"/>
        <v>0</v>
      </c>
      <c r="I7" s="193">
        <f t="shared" si="4"/>
        <v>0</v>
      </c>
      <c r="J7" s="193">
        <f t="shared" si="4"/>
        <v>0</v>
      </c>
      <c r="K7" s="193">
        <f>J7*(1+$B$7)</f>
        <v>0</v>
      </c>
      <c r="L7" s="193">
        <f t="shared" si="4"/>
        <v>0</v>
      </c>
      <c r="M7" s="193">
        <f t="shared" si="4"/>
        <v>0</v>
      </c>
      <c r="N7" s="193">
        <f t="shared" si="4"/>
        <v>0</v>
      </c>
      <c r="O7" s="193">
        <f t="shared" si="4"/>
        <v>0</v>
      </c>
      <c r="P7" s="193">
        <f t="shared" si="4"/>
        <v>0</v>
      </c>
      <c r="Q7" s="193">
        <f t="shared" si="4"/>
        <v>0</v>
      </c>
      <c r="R7" s="193">
        <f t="shared" si="4"/>
        <v>0</v>
      </c>
      <c r="S7" s="193">
        <f t="shared" si="4"/>
        <v>0</v>
      </c>
      <c r="T7" s="193">
        <f t="shared" si="4"/>
        <v>0</v>
      </c>
      <c r="U7" s="193">
        <f t="shared" si="4"/>
        <v>0</v>
      </c>
      <c r="V7" s="193">
        <f t="shared" si="4"/>
        <v>0</v>
      </c>
      <c r="W7" s="193">
        <f t="shared" si="4"/>
        <v>0</v>
      </c>
      <c r="X7" s="193">
        <f t="shared" si="4"/>
        <v>0</v>
      </c>
      <c r="Y7" s="193">
        <f t="shared" si="4"/>
        <v>0</v>
      </c>
      <c r="Z7" s="193">
        <f t="shared" si="4"/>
        <v>0</v>
      </c>
      <c r="AA7" s="193">
        <f t="shared" si="4"/>
        <v>0</v>
      </c>
      <c r="AB7" s="193">
        <f t="shared" si="4"/>
        <v>0</v>
      </c>
      <c r="AC7" s="193">
        <f t="shared" si="4"/>
        <v>0</v>
      </c>
      <c r="AD7" s="193">
        <f t="shared" si="4"/>
        <v>0</v>
      </c>
      <c r="AE7" s="193">
        <f t="shared" si="4"/>
        <v>0</v>
      </c>
      <c r="AF7" s="193">
        <f t="shared" si="4"/>
        <v>0</v>
      </c>
    </row>
    <row r="8" spans="1:32" x14ac:dyDescent="0.2">
      <c r="A8" s="27" t="s">
        <v>360</v>
      </c>
      <c r="C8" s="221">
        <f>SUM(C5:C7)</f>
        <v>0</v>
      </c>
      <c r="D8" s="221">
        <f t="shared" ref="D8:R8" si="5">SUM(D5:D7)</f>
        <v>0</v>
      </c>
      <c r="E8" s="221">
        <f t="shared" si="5"/>
        <v>0</v>
      </c>
      <c r="F8" s="221">
        <f t="shared" si="5"/>
        <v>0</v>
      </c>
      <c r="G8" s="221">
        <f t="shared" si="5"/>
        <v>0</v>
      </c>
      <c r="H8" s="221">
        <f t="shared" si="5"/>
        <v>0</v>
      </c>
      <c r="I8" s="221">
        <f t="shared" si="5"/>
        <v>0</v>
      </c>
      <c r="J8" s="221">
        <f t="shared" si="5"/>
        <v>0</v>
      </c>
      <c r="K8" s="221">
        <f t="shared" si="5"/>
        <v>0</v>
      </c>
      <c r="L8" s="221">
        <f t="shared" si="5"/>
        <v>0</v>
      </c>
      <c r="M8" s="221">
        <f t="shared" si="5"/>
        <v>0</v>
      </c>
      <c r="N8" s="221">
        <f t="shared" si="5"/>
        <v>0</v>
      </c>
      <c r="O8" s="221">
        <f t="shared" si="5"/>
        <v>0</v>
      </c>
      <c r="P8" s="221">
        <f t="shared" si="5"/>
        <v>0</v>
      </c>
      <c r="Q8" s="221">
        <f t="shared" si="5"/>
        <v>0</v>
      </c>
      <c r="R8" s="221">
        <f t="shared" si="5"/>
        <v>0</v>
      </c>
      <c r="S8" s="221">
        <f t="shared" ref="S8:AF8" si="6">SUM(S5:S7)</f>
        <v>0</v>
      </c>
      <c r="T8" s="221">
        <f t="shared" si="6"/>
        <v>0</v>
      </c>
      <c r="U8" s="221">
        <f t="shared" si="6"/>
        <v>0</v>
      </c>
      <c r="V8" s="221">
        <f t="shared" si="6"/>
        <v>0</v>
      </c>
      <c r="W8" s="221">
        <f t="shared" si="6"/>
        <v>0</v>
      </c>
      <c r="X8" s="221">
        <f t="shared" si="6"/>
        <v>0</v>
      </c>
      <c r="Y8" s="221">
        <f t="shared" si="6"/>
        <v>0</v>
      </c>
      <c r="Z8" s="221">
        <f t="shared" si="6"/>
        <v>0</v>
      </c>
      <c r="AA8" s="221">
        <f t="shared" si="6"/>
        <v>0</v>
      </c>
      <c r="AB8" s="221">
        <f t="shared" si="6"/>
        <v>0</v>
      </c>
      <c r="AC8" s="221">
        <f t="shared" si="6"/>
        <v>0</v>
      </c>
      <c r="AD8" s="221">
        <f t="shared" si="6"/>
        <v>0</v>
      </c>
      <c r="AE8" s="221">
        <f t="shared" si="6"/>
        <v>0</v>
      </c>
      <c r="AF8" s="221">
        <f t="shared" si="6"/>
        <v>0</v>
      </c>
    </row>
    <row r="9" spans="1:32" x14ac:dyDescent="0.2">
      <c r="A9" s="13" t="s">
        <v>361</v>
      </c>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row>
    <row r="10" spans="1:32" x14ac:dyDescent="0.2">
      <c r="A10" s="27" t="s">
        <v>362</v>
      </c>
      <c r="B10" s="239">
        <f>IF(assumptions!F8=0,assumptions!E8,assumptions!F8)</f>
        <v>2.5000000000000001E-2</v>
      </c>
      <c r="C10" s="193">
        <f>expenses!B79-expenses!B77-expenses!B69-expenses!B70</f>
        <v>0</v>
      </c>
      <c r="D10" s="193">
        <f>C10*(1+$B$10)</f>
        <v>0</v>
      </c>
      <c r="E10" s="193">
        <f t="shared" ref="E10:AE10" si="7">D10*(1+$B$10)</f>
        <v>0</v>
      </c>
      <c r="F10" s="193">
        <f t="shared" si="7"/>
        <v>0</v>
      </c>
      <c r="G10" s="193">
        <f t="shared" si="7"/>
        <v>0</v>
      </c>
      <c r="H10" s="193">
        <f t="shared" si="7"/>
        <v>0</v>
      </c>
      <c r="I10" s="193">
        <f t="shared" si="7"/>
        <v>0</v>
      </c>
      <c r="J10" s="193">
        <f t="shared" si="7"/>
        <v>0</v>
      </c>
      <c r="K10" s="193">
        <f t="shared" si="7"/>
        <v>0</v>
      </c>
      <c r="L10" s="193">
        <f t="shared" si="7"/>
        <v>0</v>
      </c>
      <c r="M10" s="193">
        <f t="shared" si="7"/>
        <v>0</v>
      </c>
      <c r="N10" s="193">
        <f t="shared" si="7"/>
        <v>0</v>
      </c>
      <c r="O10" s="193">
        <f t="shared" si="7"/>
        <v>0</v>
      </c>
      <c r="P10" s="193">
        <f t="shared" si="7"/>
        <v>0</v>
      </c>
      <c r="Q10" s="193">
        <f t="shared" si="7"/>
        <v>0</v>
      </c>
      <c r="R10" s="193">
        <f t="shared" si="7"/>
        <v>0</v>
      </c>
      <c r="S10" s="193">
        <f t="shared" si="7"/>
        <v>0</v>
      </c>
      <c r="T10" s="193">
        <f t="shared" si="7"/>
        <v>0</v>
      </c>
      <c r="U10" s="193">
        <f t="shared" si="7"/>
        <v>0</v>
      </c>
      <c r="V10" s="193">
        <f t="shared" si="7"/>
        <v>0</v>
      </c>
      <c r="W10" s="193">
        <f t="shared" si="7"/>
        <v>0</v>
      </c>
      <c r="X10" s="193">
        <f t="shared" si="7"/>
        <v>0</v>
      </c>
      <c r="Y10" s="193">
        <f t="shared" si="7"/>
        <v>0</v>
      </c>
      <c r="Z10" s="193">
        <f t="shared" si="7"/>
        <v>0</v>
      </c>
      <c r="AA10" s="193">
        <f t="shared" si="7"/>
        <v>0</v>
      </c>
      <c r="AB10" s="193">
        <f t="shared" si="7"/>
        <v>0</v>
      </c>
      <c r="AC10" s="193">
        <f t="shared" si="7"/>
        <v>0</v>
      </c>
      <c r="AD10" s="193">
        <f t="shared" si="7"/>
        <v>0</v>
      </c>
      <c r="AE10" s="193">
        <f t="shared" si="7"/>
        <v>0</v>
      </c>
      <c r="AF10" s="193">
        <f>AE10*(1+$B$10)</f>
        <v>0</v>
      </c>
    </row>
    <row r="11" spans="1:32" x14ac:dyDescent="0.2">
      <c r="A11" s="27" t="s">
        <v>191</v>
      </c>
      <c r="B11" s="55">
        <v>0.03</v>
      </c>
      <c r="C11" s="193">
        <f>expenses!B77</f>
        <v>0</v>
      </c>
      <c r="D11" s="193">
        <f>C11*(1+$B$11)</f>
        <v>0</v>
      </c>
      <c r="E11" s="193">
        <f>D11*(1+$B$11)</f>
        <v>0</v>
      </c>
      <c r="F11" s="193">
        <f t="shared" ref="F11:AF11" si="8">E11*(1+$B$11)</f>
        <v>0</v>
      </c>
      <c r="G11" s="193">
        <f t="shared" si="8"/>
        <v>0</v>
      </c>
      <c r="H11" s="193">
        <f t="shared" si="8"/>
        <v>0</v>
      </c>
      <c r="I11" s="193">
        <f t="shared" si="8"/>
        <v>0</v>
      </c>
      <c r="J11" s="193">
        <f t="shared" si="8"/>
        <v>0</v>
      </c>
      <c r="K11" s="193">
        <f t="shared" si="8"/>
        <v>0</v>
      </c>
      <c r="L11" s="193">
        <f t="shared" si="8"/>
        <v>0</v>
      </c>
      <c r="M11" s="193">
        <f t="shared" si="8"/>
        <v>0</v>
      </c>
      <c r="N11" s="193">
        <f t="shared" si="8"/>
        <v>0</v>
      </c>
      <c r="O11" s="193">
        <f t="shared" si="8"/>
        <v>0</v>
      </c>
      <c r="P11" s="193">
        <f t="shared" si="8"/>
        <v>0</v>
      </c>
      <c r="Q11" s="193">
        <f t="shared" si="8"/>
        <v>0</v>
      </c>
      <c r="R11" s="193">
        <f t="shared" si="8"/>
        <v>0</v>
      </c>
      <c r="S11" s="193">
        <f t="shared" si="8"/>
        <v>0</v>
      </c>
      <c r="T11" s="193">
        <f t="shared" si="8"/>
        <v>0</v>
      </c>
      <c r="U11" s="193">
        <f t="shared" si="8"/>
        <v>0</v>
      </c>
      <c r="V11" s="193">
        <f t="shared" si="8"/>
        <v>0</v>
      </c>
      <c r="W11" s="193">
        <f t="shared" si="8"/>
        <v>0</v>
      </c>
      <c r="X11" s="193">
        <f t="shared" si="8"/>
        <v>0</v>
      </c>
      <c r="Y11" s="193">
        <f t="shared" si="8"/>
        <v>0</v>
      </c>
      <c r="Z11" s="193">
        <f t="shared" si="8"/>
        <v>0</v>
      </c>
      <c r="AA11" s="193">
        <f t="shared" si="8"/>
        <v>0</v>
      </c>
      <c r="AB11" s="193">
        <f t="shared" si="8"/>
        <v>0</v>
      </c>
      <c r="AC11" s="193">
        <f t="shared" si="8"/>
        <v>0</v>
      </c>
      <c r="AD11" s="193">
        <f t="shared" si="8"/>
        <v>0</v>
      </c>
      <c r="AE11" s="193">
        <f t="shared" si="8"/>
        <v>0</v>
      </c>
      <c r="AF11" s="193">
        <f t="shared" si="8"/>
        <v>0</v>
      </c>
    </row>
    <row r="12" spans="1:32" x14ac:dyDescent="0.2">
      <c r="A12" s="27" t="s">
        <v>363</v>
      </c>
      <c r="C12" s="221">
        <f>C10+C11</f>
        <v>0</v>
      </c>
      <c r="D12" s="221">
        <f t="shared" ref="D12:AF12" si="9">D10+D11</f>
        <v>0</v>
      </c>
      <c r="E12" s="221">
        <f t="shared" si="9"/>
        <v>0</v>
      </c>
      <c r="F12" s="221">
        <f t="shared" si="9"/>
        <v>0</v>
      </c>
      <c r="G12" s="221">
        <f t="shared" si="9"/>
        <v>0</v>
      </c>
      <c r="H12" s="221">
        <f t="shared" si="9"/>
        <v>0</v>
      </c>
      <c r="I12" s="221">
        <f t="shared" si="9"/>
        <v>0</v>
      </c>
      <c r="J12" s="221">
        <f t="shared" si="9"/>
        <v>0</v>
      </c>
      <c r="K12" s="221">
        <f t="shared" si="9"/>
        <v>0</v>
      </c>
      <c r="L12" s="221">
        <f t="shared" si="9"/>
        <v>0</v>
      </c>
      <c r="M12" s="221">
        <f t="shared" si="9"/>
        <v>0</v>
      </c>
      <c r="N12" s="221">
        <f t="shared" si="9"/>
        <v>0</v>
      </c>
      <c r="O12" s="221">
        <f t="shared" si="9"/>
        <v>0</v>
      </c>
      <c r="P12" s="221">
        <f t="shared" si="9"/>
        <v>0</v>
      </c>
      <c r="Q12" s="221">
        <f t="shared" si="9"/>
        <v>0</v>
      </c>
      <c r="R12" s="221">
        <f t="shared" si="9"/>
        <v>0</v>
      </c>
      <c r="S12" s="221">
        <f t="shared" si="9"/>
        <v>0</v>
      </c>
      <c r="T12" s="221">
        <f t="shared" si="9"/>
        <v>0</v>
      </c>
      <c r="U12" s="221">
        <f t="shared" si="9"/>
        <v>0</v>
      </c>
      <c r="V12" s="221">
        <f t="shared" si="9"/>
        <v>0</v>
      </c>
      <c r="W12" s="221">
        <f t="shared" si="9"/>
        <v>0</v>
      </c>
      <c r="X12" s="221">
        <f t="shared" si="9"/>
        <v>0</v>
      </c>
      <c r="Y12" s="221">
        <f t="shared" si="9"/>
        <v>0</v>
      </c>
      <c r="Z12" s="221">
        <f t="shared" si="9"/>
        <v>0</v>
      </c>
      <c r="AA12" s="221">
        <f t="shared" si="9"/>
        <v>0</v>
      </c>
      <c r="AB12" s="221">
        <f t="shared" si="9"/>
        <v>0</v>
      </c>
      <c r="AC12" s="221">
        <f t="shared" si="9"/>
        <v>0</v>
      </c>
      <c r="AD12" s="221">
        <f t="shared" si="9"/>
        <v>0</v>
      </c>
      <c r="AE12" s="221">
        <f t="shared" si="9"/>
        <v>0</v>
      </c>
      <c r="AF12" s="221">
        <f t="shared" si="9"/>
        <v>0</v>
      </c>
    </row>
    <row r="13" spans="1:32" x14ac:dyDescent="0.2">
      <c r="A13" s="27"/>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row>
    <row r="14" spans="1:32" x14ac:dyDescent="0.2">
      <c r="A14" s="27" t="s">
        <v>364</v>
      </c>
      <c r="C14" s="222">
        <f>C8-C12</f>
        <v>0</v>
      </c>
      <c r="D14" s="222">
        <f t="shared" ref="D14:AF14" si="10">D8-D12</f>
        <v>0</v>
      </c>
      <c r="E14" s="222">
        <f t="shared" si="10"/>
        <v>0</v>
      </c>
      <c r="F14" s="222">
        <f t="shared" si="10"/>
        <v>0</v>
      </c>
      <c r="G14" s="222">
        <f t="shared" si="10"/>
        <v>0</v>
      </c>
      <c r="H14" s="222">
        <f t="shared" si="10"/>
        <v>0</v>
      </c>
      <c r="I14" s="222">
        <f t="shared" si="10"/>
        <v>0</v>
      </c>
      <c r="J14" s="222">
        <f t="shared" si="10"/>
        <v>0</v>
      </c>
      <c r="K14" s="222">
        <f t="shared" si="10"/>
        <v>0</v>
      </c>
      <c r="L14" s="222">
        <f t="shared" si="10"/>
        <v>0</v>
      </c>
      <c r="M14" s="222">
        <f t="shared" si="10"/>
        <v>0</v>
      </c>
      <c r="N14" s="222">
        <f t="shared" si="10"/>
        <v>0</v>
      </c>
      <c r="O14" s="222">
        <f t="shared" si="10"/>
        <v>0</v>
      </c>
      <c r="P14" s="222">
        <f t="shared" si="10"/>
        <v>0</v>
      </c>
      <c r="Q14" s="222">
        <f t="shared" si="10"/>
        <v>0</v>
      </c>
      <c r="R14" s="222">
        <f t="shared" si="10"/>
        <v>0</v>
      </c>
      <c r="S14" s="222">
        <f t="shared" si="10"/>
        <v>0</v>
      </c>
      <c r="T14" s="222">
        <f t="shared" si="10"/>
        <v>0</v>
      </c>
      <c r="U14" s="222">
        <f t="shared" si="10"/>
        <v>0</v>
      </c>
      <c r="V14" s="222">
        <f t="shared" si="10"/>
        <v>0</v>
      </c>
      <c r="W14" s="222">
        <f t="shared" si="10"/>
        <v>0</v>
      </c>
      <c r="X14" s="222">
        <f t="shared" si="10"/>
        <v>0</v>
      </c>
      <c r="Y14" s="222">
        <f t="shared" si="10"/>
        <v>0</v>
      </c>
      <c r="Z14" s="222">
        <f t="shared" si="10"/>
        <v>0</v>
      </c>
      <c r="AA14" s="222">
        <f t="shared" si="10"/>
        <v>0</v>
      </c>
      <c r="AB14" s="222">
        <f t="shared" si="10"/>
        <v>0</v>
      </c>
      <c r="AC14" s="222">
        <f t="shared" si="10"/>
        <v>0</v>
      </c>
      <c r="AD14" s="222">
        <f t="shared" si="10"/>
        <v>0</v>
      </c>
      <c r="AE14" s="222">
        <f t="shared" si="10"/>
        <v>0</v>
      </c>
      <c r="AF14" s="222">
        <f t="shared" si="10"/>
        <v>0</v>
      </c>
    </row>
    <row r="15" spans="1:32" x14ac:dyDescent="0.2">
      <c r="A15" s="13"/>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row>
    <row r="16" spans="1:32" x14ac:dyDescent="0.2">
      <c r="A16" s="27" t="s">
        <v>365</v>
      </c>
      <c r="C16" s="193">
        <f>IF(amortizations!B17=0,0,amortizations!B$17)</f>
        <v>0</v>
      </c>
      <c r="D16" s="193">
        <f>IF(amortizations!C17=0,0,amortizations!C$17)</f>
        <v>0</v>
      </c>
      <c r="E16" s="193">
        <f>IF(amortizations!D17=0,0,amortizations!D$17)</f>
        <v>0</v>
      </c>
      <c r="F16" s="193">
        <f>IF(amortizations!E17=0,0,amortizations!E$17)</f>
        <v>0</v>
      </c>
      <c r="G16" s="193">
        <f>IF(amortizations!F17=0,0,amortizations!F$17)</f>
        <v>0</v>
      </c>
      <c r="H16" s="193">
        <f>IF(amortizations!G17=0,0,amortizations!G$17)</f>
        <v>0</v>
      </c>
      <c r="I16" s="193">
        <f>IF(amortizations!H17=0,0,amortizations!H$17)</f>
        <v>0</v>
      </c>
      <c r="J16" s="193">
        <f>IF(amortizations!I17=0,0,amortizations!I$17)</f>
        <v>0</v>
      </c>
      <c r="K16" s="193">
        <f>IF(amortizations!J17=0,0,amortizations!J$17)</f>
        <v>0</v>
      </c>
      <c r="L16" s="193">
        <f>IF(amortizations!K17=0,0,amortizations!K$17)</f>
        <v>0</v>
      </c>
      <c r="M16" s="193">
        <f>IF(amortizations!L17=0,0,amortizations!L$17)</f>
        <v>0</v>
      </c>
      <c r="N16" s="193">
        <f>IF(amortizations!M17=0,0,amortizations!M$17)</f>
        <v>0</v>
      </c>
      <c r="O16" s="193">
        <f>IF(amortizations!N17=0,0,amortizations!N$17)</f>
        <v>0</v>
      </c>
      <c r="P16" s="193">
        <f>IF(amortizations!O17=0,0,amortizations!O$17)</f>
        <v>0</v>
      </c>
      <c r="Q16" s="193">
        <f>IF(amortizations!P17=0,0,amortizations!P$17)</f>
        <v>0</v>
      </c>
      <c r="R16" s="193">
        <f>IF(amortizations!Q17=0,0,amortizations!Q$17)</f>
        <v>0</v>
      </c>
      <c r="S16" s="193">
        <f>IF(amortizations!R17=0,0,amortizations!R$17)</f>
        <v>0</v>
      </c>
      <c r="T16" s="193">
        <f>IF(amortizations!S17=0,0,amortizations!S$17)</f>
        <v>0</v>
      </c>
      <c r="U16" s="193">
        <f>IF(amortizations!T17=0,0,amortizations!T$17)</f>
        <v>0</v>
      </c>
      <c r="V16" s="193">
        <f>IF(amortizations!U17=0,0,amortizations!U$17)</f>
        <v>0</v>
      </c>
      <c r="W16" s="193">
        <f>IF(amortizations!V17=0,0,amortizations!V$17)</f>
        <v>0</v>
      </c>
      <c r="X16" s="193">
        <f>IF(amortizations!W17=0,0,amortizations!W$17)</f>
        <v>0</v>
      </c>
      <c r="Y16" s="193">
        <f>IF(amortizations!X17=0,0,amortizations!X$17)</f>
        <v>0</v>
      </c>
      <c r="Z16" s="193">
        <f>IF(amortizations!Y17=0,0,amortizations!Y$17)</f>
        <v>0</v>
      </c>
      <c r="AA16" s="193">
        <f>IF(amortizations!Z17=0,0,amortizations!Z$17)</f>
        <v>0</v>
      </c>
      <c r="AB16" s="193">
        <f>IF(amortizations!AA17=0,0,amortizations!AA$17)</f>
        <v>0</v>
      </c>
      <c r="AC16" s="193">
        <f>IF(amortizations!AB17=0,0,amortizations!AB$17)</f>
        <v>0</v>
      </c>
      <c r="AD16" s="193">
        <f>IF(amortizations!AC17=0,0,amortizations!AC$17)</f>
        <v>0</v>
      </c>
      <c r="AE16" s="193">
        <f>IF(amortizations!AD17=0,0,amortizations!AD$17)</f>
        <v>0</v>
      </c>
      <c r="AF16" s="193">
        <f>IF(amortizations!AE17=0,0,amortizations!AE$17)</f>
        <v>0</v>
      </c>
    </row>
    <row r="17" spans="1:32" x14ac:dyDescent="0.2">
      <c r="A17" s="27" t="s">
        <v>366</v>
      </c>
      <c r="C17" s="14">
        <f>IF(amortizations!$B$27=0,0,amortizations!B$34)</f>
        <v>0</v>
      </c>
      <c r="D17" s="14">
        <f>IF(amortizations!$B$27=0,0,amortizations!C$34)</f>
        <v>0</v>
      </c>
      <c r="E17" s="14">
        <f>IF(amortizations!$B$27=0,0,amortizations!D$34)</f>
        <v>0</v>
      </c>
      <c r="F17" s="14">
        <f>IF(amortizations!$B$27=0,0,amortizations!E$34)</f>
        <v>0</v>
      </c>
      <c r="G17" s="14">
        <f>IF(amortizations!$B$27=0,0,amortizations!F$34)</f>
        <v>0</v>
      </c>
      <c r="H17" s="14">
        <f>IF(amortizations!$B$27=0,0,amortizations!G$34)</f>
        <v>0</v>
      </c>
      <c r="I17" s="14">
        <f>IF(amortizations!$B$27=0,0,amortizations!H$34)</f>
        <v>0</v>
      </c>
      <c r="J17" s="14">
        <f>IF(amortizations!$B$27=0,0,amortizations!I$34)</f>
        <v>0</v>
      </c>
      <c r="K17" s="14">
        <f>IF(amortizations!$B$27=0,0,amortizations!J$34)</f>
        <v>0</v>
      </c>
      <c r="L17" s="14">
        <f>IF(amortizations!$B$27=0,0,amortizations!K$34)</f>
        <v>0</v>
      </c>
      <c r="M17" s="14">
        <f>IF(amortizations!$B$27=0,0,amortizations!L$34)</f>
        <v>0</v>
      </c>
      <c r="N17" s="14">
        <f>IF(amortizations!$B$27=0,0,amortizations!M$34)</f>
        <v>0</v>
      </c>
      <c r="O17" s="14">
        <f>IF(amortizations!$B$27=0,0,amortizations!N$34)</f>
        <v>0</v>
      </c>
      <c r="P17" s="14">
        <f>IF(amortizations!$B$27=0,0,amortizations!O$34)</f>
        <v>0</v>
      </c>
      <c r="Q17" s="14">
        <f>IF(amortizations!$B$27=0,0,amortizations!P$34)</f>
        <v>0</v>
      </c>
      <c r="R17" s="14">
        <f>IF(amortizations!$B$27=0,0,amortizations!Q$34)</f>
        <v>0</v>
      </c>
      <c r="S17" s="14">
        <f>IF(amortizations!$B$27=0,0,amortizations!R$34)</f>
        <v>0</v>
      </c>
      <c r="T17" s="14">
        <f>IF(amortizations!$B$27=0,0,amortizations!S$34)</f>
        <v>0</v>
      </c>
      <c r="U17" s="14">
        <f>IF(amortizations!$B$27=0,0,amortizations!T$34)</f>
        <v>0</v>
      </c>
      <c r="V17" s="14">
        <f>IF(amortizations!$B$27=0,0,amortizations!U$34)</f>
        <v>0</v>
      </c>
      <c r="W17" s="14">
        <f>IF(amortizations!$B$27=0,0,amortizations!V$34)</f>
        <v>0</v>
      </c>
      <c r="X17" s="14">
        <f>IF(amortizations!$B$27=0,0,amortizations!W$34)</f>
        <v>0</v>
      </c>
      <c r="Y17" s="14">
        <f>IF(amortizations!$B$27=0,0,amortizations!X$34)</f>
        <v>0</v>
      </c>
      <c r="Z17" s="14">
        <f>IF(amortizations!$B$27=0,0,amortizations!Y$34)</f>
        <v>0</v>
      </c>
      <c r="AA17" s="14">
        <f>IF(amortizations!$B$27=0,0,amortizations!Z$34)</f>
        <v>0</v>
      </c>
      <c r="AB17" s="14">
        <f>IF(amortizations!$B$27=0,0,amortizations!AA$34)</f>
        <v>0</v>
      </c>
      <c r="AC17" s="14">
        <f>IF(amortizations!$B$27=0,0,amortizations!AB$34)</f>
        <v>0</v>
      </c>
      <c r="AD17" s="14">
        <f>IF(amortizations!$B$27=0,0,amortizations!AC$34)</f>
        <v>0</v>
      </c>
      <c r="AE17" s="14">
        <f>IF(amortizations!$B$27=0,0,amortizations!AD$34)</f>
        <v>0</v>
      </c>
      <c r="AF17" s="14">
        <f>IF(amortizations!$B$27=0,0,amortizations!AE$34)</f>
        <v>0</v>
      </c>
    </row>
    <row r="18" spans="1:32" x14ac:dyDescent="0.2">
      <c r="A18" s="27" t="s">
        <v>367</v>
      </c>
      <c r="C18" s="221">
        <f>C14-C16-C17</f>
        <v>0</v>
      </c>
      <c r="D18" s="221">
        <f t="shared" ref="D18:AF18" si="11">D14-D16-D17</f>
        <v>0</v>
      </c>
      <c r="E18" s="221">
        <f t="shared" si="11"/>
        <v>0</v>
      </c>
      <c r="F18" s="221">
        <f t="shared" si="11"/>
        <v>0</v>
      </c>
      <c r="G18" s="221">
        <f t="shared" si="11"/>
        <v>0</v>
      </c>
      <c r="H18" s="221">
        <f t="shared" si="11"/>
        <v>0</v>
      </c>
      <c r="I18" s="221">
        <f t="shared" si="11"/>
        <v>0</v>
      </c>
      <c r="J18" s="221">
        <f t="shared" si="11"/>
        <v>0</v>
      </c>
      <c r="K18" s="221">
        <f t="shared" si="11"/>
        <v>0</v>
      </c>
      <c r="L18" s="221">
        <f t="shared" si="11"/>
        <v>0</v>
      </c>
      <c r="M18" s="221">
        <f t="shared" si="11"/>
        <v>0</v>
      </c>
      <c r="N18" s="221">
        <f t="shared" si="11"/>
        <v>0</v>
      </c>
      <c r="O18" s="221">
        <f t="shared" si="11"/>
        <v>0</v>
      </c>
      <c r="P18" s="221">
        <f t="shared" si="11"/>
        <v>0</v>
      </c>
      <c r="Q18" s="221">
        <f t="shared" si="11"/>
        <v>0</v>
      </c>
      <c r="R18" s="221">
        <f t="shared" si="11"/>
        <v>0</v>
      </c>
      <c r="S18" s="221">
        <f t="shared" si="11"/>
        <v>0</v>
      </c>
      <c r="T18" s="221">
        <f t="shared" si="11"/>
        <v>0</v>
      </c>
      <c r="U18" s="221">
        <f t="shared" si="11"/>
        <v>0</v>
      </c>
      <c r="V18" s="221">
        <f t="shared" si="11"/>
        <v>0</v>
      </c>
      <c r="W18" s="221">
        <f t="shared" si="11"/>
        <v>0</v>
      </c>
      <c r="X18" s="221">
        <f t="shared" si="11"/>
        <v>0</v>
      </c>
      <c r="Y18" s="221">
        <f t="shared" si="11"/>
        <v>0</v>
      </c>
      <c r="Z18" s="221">
        <f t="shared" si="11"/>
        <v>0</v>
      </c>
      <c r="AA18" s="221">
        <f t="shared" si="11"/>
        <v>0</v>
      </c>
      <c r="AB18" s="221">
        <f t="shared" si="11"/>
        <v>0</v>
      </c>
      <c r="AC18" s="221">
        <f t="shared" si="11"/>
        <v>0</v>
      </c>
      <c r="AD18" s="221">
        <f t="shared" si="11"/>
        <v>0</v>
      </c>
      <c r="AE18" s="221">
        <f t="shared" si="11"/>
        <v>0</v>
      </c>
      <c r="AF18" s="221">
        <f t="shared" si="11"/>
        <v>0</v>
      </c>
    </row>
    <row r="19" spans="1:32" x14ac:dyDescent="0.2">
      <c r="A19" s="27" t="s">
        <v>368</v>
      </c>
      <c r="C19" s="193">
        <f>IF(C18&lt;0,-C18,0)</f>
        <v>0</v>
      </c>
      <c r="D19" s="193">
        <f t="shared" ref="D19:R19" si="12">IF(D18&lt;0,-D18,0)</f>
        <v>0</v>
      </c>
      <c r="E19" s="193">
        <f t="shared" si="12"/>
        <v>0</v>
      </c>
      <c r="F19" s="193">
        <f t="shared" si="12"/>
        <v>0</v>
      </c>
      <c r="G19" s="193">
        <f t="shared" si="12"/>
        <v>0</v>
      </c>
      <c r="H19" s="193">
        <f t="shared" si="12"/>
        <v>0</v>
      </c>
      <c r="I19" s="193">
        <f t="shared" si="12"/>
        <v>0</v>
      </c>
      <c r="J19" s="193">
        <f t="shared" si="12"/>
        <v>0</v>
      </c>
      <c r="K19" s="193">
        <f t="shared" si="12"/>
        <v>0</v>
      </c>
      <c r="L19" s="193">
        <f t="shared" si="12"/>
        <v>0</v>
      </c>
      <c r="M19" s="193">
        <f t="shared" si="12"/>
        <v>0</v>
      </c>
      <c r="N19" s="193">
        <f t="shared" si="12"/>
        <v>0</v>
      </c>
      <c r="O19" s="193">
        <f t="shared" si="12"/>
        <v>0</v>
      </c>
      <c r="P19" s="193">
        <f t="shared" si="12"/>
        <v>0</v>
      </c>
      <c r="Q19" s="193">
        <f t="shared" si="12"/>
        <v>0</v>
      </c>
      <c r="R19" s="193">
        <f t="shared" si="12"/>
        <v>0</v>
      </c>
      <c r="S19" s="193">
        <f t="shared" ref="S19:AF19" si="13">IF(S18&lt;0,-S18,0)</f>
        <v>0</v>
      </c>
      <c r="T19" s="193">
        <f t="shared" si="13"/>
        <v>0</v>
      </c>
      <c r="U19" s="193">
        <f t="shared" si="13"/>
        <v>0</v>
      </c>
      <c r="V19" s="193">
        <f t="shared" si="13"/>
        <v>0</v>
      </c>
      <c r="W19" s="193">
        <f t="shared" si="13"/>
        <v>0</v>
      </c>
      <c r="X19" s="193">
        <f t="shared" si="13"/>
        <v>0</v>
      </c>
      <c r="Y19" s="193">
        <f t="shared" si="13"/>
        <v>0</v>
      </c>
      <c r="Z19" s="193">
        <f t="shared" si="13"/>
        <v>0</v>
      </c>
      <c r="AA19" s="193">
        <f t="shared" si="13"/>
        <v>0</v>
      </c>
      <c r="AB19" s="193">
        <f t="shared" si="13"/>
        <v>0</v>
      </c>
      <c r="AC19" s="193">
        <f t="shared" si="13"/>
        <v>0</v>
      </c>
      <c r="AD19" s="193">
        <f t="shared" si="13"/>
        <v>0</v>
      </c>
      <c r="AE19" s="193">
        <f t="shared" si="13"/>
        <v>0</v>
      </c>
      <c r="AF19" s="193">
        <f t="shared" si="13"/>
        <v>0</v>
      </c>
    </row>
    <row r="20" spans="1:32" x14ac:dyDescent="0.2">
      <c r="A20" s="27" t="s">
        <v>369</v>
      </c>
      <c r="C20" s="221">
        <f>C18+C19</f>
        <v>0</v>
      </c>
      <c r="D20" s="221">
        <f t="shared" ref="D20:R20" si="14">D18+D19</f>
        <v>0</v>
      </c>
      <c r="E20" s="221">
        <f t="shared" si="14"/>
        <v>0</v>
      </c>
      <c r="F20" s="221">
        <f t="shared" si="14"/>
        <v>0</v>
      </c>
      <c r="G20" s="221">
        <f t="shared" si="14"/>
        <v>0</v>
      </c>
      <c r="H20" s="221">
        <f t="shared" si="14"/>
        <v>0</v>
      </c>
      <c r="I20" s="221">
        <f t="shared" si="14"/>
        <v>0</v>
      </c>
      <c r="J20" s="221">
        <f t="shared" si="14"/>
        <v>0</v>
      </c>
      <c r="K20" s="221">
        <f t="shared" si="14"/>
        <v>0</v>
      </c>
      <c r="L20" s="221">
        <f t="shared" si="14"/>
        <v>0</v>
      </c>
      <c r="M20" s="221">
        <f t="shared" si="14"/>
        <v>0</v>
      </c>
      <c r="N20" s="221">
        <f t="shared" si="14"/>
        <v>0</v>
      </c>
      <c r="O20" s="221">
        <f t="shared" si="14"/>
        <v>0</v>
      </c>
      <c r="P20" s="221">
        <f t="shared" si="14"/>
        <v>0</v>
      </c>
      <c r="Q20" s="221">
        <f t="shared" si="14"/>
        <v>0</v>
      </c>
      <c r="R20" s="221">
        <f t="shared" si="14"/>
        <v>0</v>
      </c>
      <c r="S20" s="221">
        <f t="shared" ref="S20:AF20" si="15">S18+S19</f>
        <v>0</v>
      </c>
      <c r="T20" s="221">
        <f t="shared" si="15"/>
        <v>0</v>
      </c>
      <c r="U20" s="221">
        <f t="shared" si="15"/>
        <v>0</v>
      </c>
      <c r="V20" s="221">
        <f t="shared" si="15"/>
        <v>0</v>
      </c>
      <c r="W20" s="221">
        <f t="shared" si="15"/>
        <v>0</v>
      </c>
      <c r="X20" s="221">
        <f t="shared" si="15"/>
        <v>0</v>
      </c>
      <c r="Y20" s="221">
        <f t="shared" si="15"/>
        <v>0</v>
      </c>
      <c r="Z20" s="221">
        <f t="shared" si="15"/>
        <v>0</v>
      </c>
      <c r="AA20" s="221">
        <f t="shared" si="15"/>
        <v>0</v>
      </c>
      <c r="AB20" s="221">
        <f t="shared" si="15"/>
        <v>0</v>
      </c>
      <c r="AC20" s="221">
        <f t="shared" si="15"/>
        <v>0</v>
      </c>
      <c r="AD20" s="221">
        <f t="shared" si="15"/>
        <v>0</v>
      </c>
      <c r="AE20" s="221">
        <f t="shared" si="15"/>
        <v>0</v>
      </c>
      <c r="AF20" s="221">
        <f t="shared" si="15"/>
        <v>0</v>
      </c>
    </row>
    <row r="22" spans="1:32" x14ac:dyDescent="0.2">
      <c r="A22" s="79" t="s">
        <v>370</v>
      </c>
      <c r="C22" s="310" t="str">
        <f>IF(ISERR(C14/(C16+C17)),"N/A",C14/(C16+C17))</f>
        <v>N/A</v>
      </c>
      <c r="D22" s="310" t="str">
        <f t="shared" ref="D22:AF22" si="16">IF(ISERR(D14/(D16+D17)),"N/A",D14/(D16+D17))</f>
        <v>N/A</v>
      </c>
      <c r="E22" s="310" t="str">
        <f t="shared" si="16"/>
        <v>N/A</v>
      </c>
      <c r="F22" s="310" t="str">
        <f t="shared" si="16"/>
        <v>N/A</v>
      </c>
      <c r="G22" s="310" t="str">
        <f t="shared" si="16"/>
        <v>N/A</v>
      </c>
      <c r="H22" s="310" t="str">
        <f t="shared" si="16"/>
        <v>N/A</v>
      </c>
      <c r="I22" s="310" t="str">
        <f t="shared" si="16"/>
        <v>N/A</v>
      </c>
      <c r="J22" s="310" t="str">
        <f t="shared" si="16"/>
        <v>N/A</v>
      </c>
      <c r="K22" s="310" t="str">
        <f t="shared" si="16"/>
        <v>N/A</v>
      </c>
      <c r="L22" s="310" t="str">
        <f t="shared" si="16"/>
        <v>N/A</v>
      </c>
      <c r="M22" s="310" t="str">
        <f t="shared" si="16"/>
        <v>N/A</v>
      </c>
      <c r="N22" s="310" t="str">
        <f t="shared" si="16"/>
        <v>N/A</v>
      </c>
      <c r="O22" s="310" t="str">
        <f t="shared" si="16"/>
        <v>N/A</v>
      </c>
      <c r="P22" s="310" t="str">
        <f t="shared" si="16"/>
        <v>N/A</v>
      </c>
      <c r="Q22" s="310" t="str">
        <f t="shared" si="16"/>
        <v>N/A</v>
      </c>
      <c r="R22" s="310" t="str">
        <f t="shared" si="16"/>
        <v>N/A</v>
      </c>
      <c r="S22" s="310" t="str">
        <f t="shared" si="16"/>
        <v>N/A</v>
      </c>
      <c r="T22" s="310" t="str">
        <f t="shared" si="16"/>
        <v>N/A</v>
      </c>
      <c r="U22" s="310" t="str">
        <f t="shared" si="16"/>
        <v>N/A</v>
      </c>
      <c r="V22" s="310" t="str">
        <f t="shared" si="16"/>
        <v>N/A</v>
      </c>
      <c r="W22" s="310" t="str">
        <f t="shared" si="16"/>
        <v>N/A</v>
      </c>
      <c r="X22" s="310" t="str">
        <f t="shared" si="16"/>
        <v>N/A</v>
      </c>
      <c r="Y22" s="310" t="str">
        <f t="shared" si="16"/>
        <v>N/A</v>
      </c>
      <c r="Z22" s="310" t="str">
        <f t="shared" si="16"/>
        <v>N/A</v>
      </c>
      <c r="AA22" s="310" t="str">
        <f t="shared" si="16"/>
        <v>N/A</v>
      </c>
      <c r="AB22" s="310" t="str">
        <f t="shared" si="16"/>
        <v>N/A</v>
      </c>
      <c r="AC22" s="310" t="str">
        <f t="shared" si="16"/>
        <v>N/A</v>
      </c>
      <c r="AD22" s="310" t="str">
        <f t="shared" si="16"/>
        <v>N/A</v>
      </c>
      <c r="AE22" s="310" t="str">
        <f t="shared" si="16"/>
        <v>N/A</v>
      </c>
      <c r="AF22" s="310" t="str">
        <f t="shared" si="16"/>
        <v>N/A</v>
      </c>
    </row>
    <row r="23" spans="1:32" x14ac:dyDescent="0.2">
      <c r="A23" s="79" t="s">
        <v>371</v>
      </c>
      <c r="C23" s="105" t="str">
        <f>IF(C12=0,"TBD",C20/C12)</f>
        <v>TBD</v>
      </c>
      <c r="D23" s="105" t="str">
        <f t="shared" ref="D23:L23" si="17">IF(D12=0,"TBD",D20/D12)</f>
        <v>TBD</v>
      </c>
      <c r="E23" s="105" t="str">
        <f t="shared" si="17"/>
        <v>TBD</v>
      </c>
      <c r="F23" s="105" t="str">
        <f t="shared" si="17"/>
        <v>TBD</v>
      </c>
      <c r="G23" s="105" t="str">
        <f t="shared" si="17"/>
        <v>TBD</v>
      </c>
      <c r="H23" s="105" t="str">
        <f t="shared" si="17"/>
        <v>TBD</v>
      </c>
      <c r="I23" s="105" t="str">
        <f t="shared" si="17"/>
        <v>TBD</v>
      </c>
      <c r="J23" s="105" t="str">
        <f t="shared" si="17"/>
        <v>TBD</v>
      </c>
      <c r="K23" s="105" t="str">
        <f t="shared" si="17"/>
        <v>TBD</v>
      </c>
      <c r="L23" s="105" t="str">
        <f t="shared" si="17"/>
        <v>TBD</v>
      </c>
      <c r="M23" s="1"/>
      <c r="N23" s="1"/>
      <c r="O23" s="238"/>
      <c r="P23" s="238"/>
      <c r="Q23" s="238"/>
      <c r="R23" s="238"/>
      <c r="S23" s="238"/>
      <c r="T23" s="238"/>
      <c r="U23" s="238"/>
      <c r="V23" s="238"/>
      <c r="W23" s="238"/>
      <c r="X23" s="238"/>
      <c r="Y23" s="238"/>
      <c r="Z23" s="238"/>
      <c r="AA23" s="238"/>
      <c r="AB23" s="238"/>
      <c r="AC23" s="238"/>
      <c r="AD23" s="238"/>
      <c r="AE23" s="238"/>
      <c r="AF23" s="238"/>
    </row>
    <row r="24" spans="1:32" x14ac:dyDescent="0.2">
      <c r="A24" s="79" t="s">
        <v>372</v>
      </c>
      <c r="C24" s="105" t="str">
        <f>IF(C12=0,"TBD",C8/C12)</f>
        <v>TBD</v>
      </c>
      <c r="D24" s="105" t="str">
        <f t="shared" ref="D24:L24" si="18">IF(D12=0,"TBD",D8/D12)</f>
        <v>TBD</v>
      </c>
      <c r="E24" s="105" t="str">
        <f t="shared" si="18"/>
        <v>TBD</v>
      </c>
      <c r="F24" s="105" t="str">
        <f t="shared" si="18"/>
        <v>TBD</v>
      </c>
      <c r="G24" s="105" t="str">
        <f t="shared" si="18"/>
        <v>TBD</v>
      </c>
      <c r="H24" s="105" t="str">
        <f t="shared" si="18"/>
        <v>TBD</v>
      </c>
      <c r="I24" s="105" t="str">
        <f t="shared" si="18"/>
        <v>TBD</v>
      </c>
      <c r="J24" s="105" t="str">
        <f t="shared" si="18"/>
        <v>TBD</v>
      </c>
      <c r="K24" s="105" t="str">
        <f t="shared" si="18"/>
        <v>TBD</v>
      </c>
      <c r="L24" s="105" t="str">
        <f t="shared" si="18"/>
        <v>TBD</v>
      </c>
      <c r="M24" s="1"/>
      <c r="N24" s="1"/>
      <c r="O24" s="238"/>
      <c r="P24" s="238"/>
      <c r="Q24" s="238"/>
      <c r="R24" s="238"/>
      <c r="S24" s="238"/>
      <c r="T24" s="238"/>
      <c r="U24" s="238"/>
      <c r="V24" s="238"/>
      <c r="W24" s="238"/>
      <c r="X24" s="238"/>
      <c r="Y24" s="238"/>
      <c r="Z24" s="238"/>
      <c r="AA24" s="238"/>
      <c r="AB24" s="238"/>
      <c r="AC24" s="238"/>
      <c r="AD24" s="238"/>
      <c r="AE24" s="238"/>
      <c r="AF24" s="238"/>
    </row>
    <row r="25" spans="1:32" x14ac:dyDescent="0.2">
      <c r="A25" s="13" t="s">
        <v>373</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x14ac:dyDescent="0.2">
      <c r="A26" s="27" t="s">
        <v>374</v>
      </c>
      <c r="C26" s="14">
        <f>SUM('sources-uses'!C85:C87,'sources-uses'!C89,'sources-uses'!C90)</f>
        <v>0</v>
      </c>
      <c r="D26" s="14">
        <f>C35</f>
        <v>0</v>
      </c>
      <c r="E26" s="14">
        <f t="shared" ref="E26:AF26" si="19">D35</f>
        <v>0</v>
      </c>
      <c r="F26" s="14">
        <f t="shared" si="19"/>
        <v>0</v>
      </c>
      <c r="G26" s="14">
        <f t="shared" si="19"/>
        <v>0</v>
      </c>
      <c r="H26" s="14">
        <f t="shared" si="19"/>
        <v>0</v>
      </c>
      <c r="I26" s="14">
        <f t="shared" si="19"/>
        <v>0</v>
      </c>
      <c r="J26" s="14">
        <f t="shared" si="19"/>
        <v>0</v>
      </c>
      <c r="K26" s="14">
        <f t="shared" si="19"/>
        <v>0</v>
      </c>
      <c r="L26" s="14">
        <f t="shared" si="19"/>
        <v>0</v>
      </c>
      <c r="M26" s="14">
        <f t="shared" si="19"/>
        <v>0</v>
      </c>
      <c r="N26" s="14">
        <f t="shared" si="19"/>
        <v>0</v>
      </c>
      <c r="O26" s="14">
        <f t="shared" si="19"/>
        <v>0</v>
      </c>
      <c r="P26" s="14">
        <f t="shared" si="19"/>
        <v>0</v>
      </c>
      <c r="Q26" s="14">
        <f t="shared" si="19"/>
        <v>0</v>
      </c>
      <c r="R26" s="14">
        <f t="shared" si="19"/>
        <v>0</v>
      </c>
      <c r="S26" s="14">
        <f t="shared" si="19"/>
        <v>0</v>
      </c>
      <c r="T26" s="14">
        <f t="shared" si="19"/>
        <v>0</v>
      </c>
      <c r="U26" s="14">
        <f t="shared" si="19"/>
        <v>0</v>
      </c>
      <c r="V26" s="14">
        <f t="shared" si="19"/>
        <v>0</v>
      </c>
      <c r="W26" s="14">
        <f t="shared" si="19"/>
        <v>0</v>
      </c>
      <c r="X26" s="14">
        <f t="shared" si="19"/>
        <v>0</v>
      </c>
      <c r="Y26" s="14">
        <f t="shared" si="19"/>
        <v>0</v>
      </c>
      <c r="Z26" s="14">
        <f t="shared" si="19"/>
        <v>0</v>
      </c>
      <c r="AA26" s="14">
        <f t="shared" si="19"/>
        <v>0</v>
      </c>
      <c r="AB26" s="14">
        <f t="shared" si="19"/>
        <v>0</v>
      </c>
      <c r="AC26" s="14">
        <f t="shared" si="19"/>
        <v>0</v>
      </c>
      <c r="AD26" s="14">
        <f t="shared" si="19"/>
        <v>0</v>
      </c>
      <c r="AE26" s="14">
        <f t="shared" si="19"/>
        <v>0</v>
      </c>
      <c r="AF26" s="14">
        <f t="shared" si="19"/>
        <v>0</v>
      </c>
    </row>
    <row r="27" spans="1:32" x14ac:dyDescent="0.2">
      <c r="A27" s="27" t="s">
        <v>375</v>
      </c>
      <c r="C27" s="14">
        <f>C20</f>
        <v>0</v>
      </c>
      <c r="D27" s="14">
        <f>D20</f>
        <v>0</v>
      </c>
      <c r="E27" s="14">
        <f t="shared" ref="E27:AF27" si="20">E20</f>
        <v>0</v>
      </c>
      <c r="F27" s="14">
        <f t="shared" si="20"/>
        <v>0</v>
      </c>
      <c r="G27" s="14">
        <f t="shared" si="20"/>
        <v>0</v>
      </c>
      <c r="H27" s="14">
        <f t="shared" si="20"/>
        <v>0</v>
      </c>
      <c r="I27" s="14">
        <f t="shared" si="20"/>
        <v>0</v>
      </c>
      <c r="J27" s="14">
        <f t="shared" si="20"/>
        <v>0</v>
      </c>
      <c r="K27" s="14">
        <f t="shared" si="20"/>
        <v>0</v>
      </c>
      <c r="L27" s="14">
        <f t="shared" si="20"/>
        <v>0</v>
      </c>
      <c r="M27" s="14">
        <f t="shared" si="20"/>
        <v>0</v>
      </c>
      <c r="N27" s="14">
        <f t="shared" si="20"/>
        <v>0</v>
      </c>
      <c r="O27" s="14">
        <f t="shared" si="20"/>
        <v>0</v>
      </c>
      <c r="P27" s="14">
        <f t="shared" si="20"/>
        <v>0</v>
      </c>
      <c r="Q27" s="14">
        <f t="shared" si="20"/>
        <v>0</v>
      </c>
      <c r="R27" s="14">
        <f t="shared" si="20"/>
        <v>0</v>
      </c>
      <c r="S27" s="14">
        <f t="shared" si="20"/>
        <v>0</v>
      </c>
      <c r="T27" s="14">
        <f t="shared" si="20"/>
        <v>0</v>
      </c>
      <c r="U27" s="14">
        <f t="shared" si="20"/>
        <v>0</v>
      </c>
      <c r="V27" s="14">
        <f t="shared" si="20"/>
        <v>0</v>
      </c>
      <c r="W27" s="14">
        <f t="shared" si="20"/>
        <v>0</v>
      </c>
      <c r="X27" s="14">
        <f t="shared" si="20"/>
        <v>0</v>
      </c>
      <c r="Y27" s="14">
        <f t="shared" si="20"/>
        <v>0</v>
      </c>
      <c r="Z27" s="14">
        <f t="shared" si="20"/>
        <v>0</v>
      </c>
      <c r="AA27" s="14">
        <f t="shared" si="20"/>
        <v>0</v>
      </c>
      <c r="AB27" s="14">
        <f t="shared" si="20"/>
        <v>0</v>
      </c>
      <c r="AC27" s="14">
        <f t="shared" si="20"/>
        <v>0</v>
      </c>
      <c r="AD27" s="14">
        <f t="shared" si="20"/>
        <v>0</v>
      </c>
      <c r="AE27" s="14">
        <f t="shared" si="20"/>
        <v>0</v>
      </c>
      <c r="AF27" s="14">
        <f t="shared" si="20"/>
        <v>0</v>
      </c>
    </row>
    <row r="28" spans="1:32" x14ac:dyDescent="0.2">
      <c r="A28" s="27" t="s">
        <v>297</v>
      </c>
      <c r="B28" s="57">
        <v>0.02</v>
      </c>
      <c r="C28" s="14">
        <f>($B$28*C26)+IF(C27&gt;0,0.5*C27*$B$28,0)</f>
        <v>0</v>
      </c>
      <c r="D28" s="14">
        <f>($B$28*D26)+IF(D27&gt;0,0.5*D27*$B$28,0)</f>
        <v>0</v>
      </c>
      <c r="E28" s="14">
        <f t="shared" ref="E28:AF28" si="21">($B$28*E26)+IF(E27&gt;0,0.5*E27*$B$28,0)</f>
        <v>0</v>
      </c>
      <c r="F28" s="14">
        <f t="shared" si="21"/>
        <v>0</v>
      </c>
      <c r="G28" s="14">
        <f t="shared" si="21"/>
        <v>0</v>
      </c>
      <c r="H28" s="14">
        <f t="shared" si="21"/>
        <v>0</v>
      </c>
      <c r="I28" s="14">
        <f t="shared" si="21"/>
        <v>0</v>
      </c>
      <c r="J28" s="14">
        <f t="shared" si="21"/>
        <v>0</v>
      </c>
      <c r="K28" s="14">
        <f t="shared" si="21"/>
        <v>0</v>
      </c>
      <c r="L28" s="14">
        <f t="shared" si="21"/>
        <v>0</v>
      </c>
      <c r="M28" s="14">
        <f t="shared" si="21"/>
        <v>0</v>
      </c>
      <c r="N28" s="14">
        <f t="shared" si="21"/>
        <v>0</v>
      </c>
      <c r="O28" s="14">
        <f t="shared" si="21"/>
        <v>0</v>
      </c>
      <c r="P28" s="14">
        <f t="shared" si="21"/>
        <v>0</v>
      </c>
      <c r="Q28" s="14">
        <f t="shared" si="21"/>
        <v>0</v>
      </c>
      <c r="R28" s="14">
        <f t="shared" si="21"/>
        <v>0</v>
      </c>
      <c r="S28" s="14">
        <f t="shared" si="21"/>
        <v>0</v>
      </c>
      <c r="T28" s="14">
        <f t="shared" si="21"/>
        <v>0</v>
      </c>
      <c r="U28" s="14">
        <f t="shared" si="21"/>
        <v>0</v>
      </c>
      <c r="V28" s="14">
        <f t="shared" si="21"/>
        <v>0</v>
      </c>
      <c r="W28" s="14">
        <f t="shared" si="21"/>
        <v>0</v>
      </c>
      <c r="X28" s="14">
        <f t="shared" si="21"/>
        <v>0</v>
      </c>
      <c r="Y28" s="14">
        <f t="shared" si="21"/>
        <v>0</v>
      </c>
      <c r="Z28" s="14">
        <f t="shared" si="21"/>
        <v>0</v>
      </c>
      <c r="AA28" s="14">
        <f t="shared" si="21"/>
        <v>0</v>
      </c>
      <c r="AB28" s="14">
        <f t="shared" si="21"/>
        <v>0</v>
      </c>
      <c r="AC28" s="14">
        <f t="shared" si="21"/>
        <v>0</v>
      </c>
      <c r="AD28" s="14">
        <f t="shared" si="21"/>
        <v>0</v>
      </c>
      <c r="AE28" s="14">
        <f t="shared" si="21"/>
        <v>0</v>
      </c>
      <c r="AF28" s="14">
        <f t="shared" si="21"/>
        <v>0</v>
      </c>
    </row>
    <row r="29" spans="1:32" x14ac:dyDescent="0.2">
      <c r="A29" s="13" t="s">
        <v>376</v>
      </c>
      <c r="B29" s="35"/>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row>
    <row r="30" spans="1:32" x14ac:dyDescent="0.2">
      <c r="A30" s="27" t="s">
        <v>377</v>
      </c>
      <c r="C30" s="193">
        <f>-C19</f>
        <v>0</v>
      </c>
      <c r="D30" s="193">
        <f t="shared" ref="D30:R30" si="22">-D19</f>
        <v>0</v>
      </c>
      <c r="E30" s="193">
        <f t="shared" si="22"/>
        <v>0</v>
      </c>
      <c r="F30" s="193">
        <f t="shared" si="22"/>
        <v>0</v>
      </c>
      <c r="G30" s="193">
        <f t="shared" si="22"/>
        <v>0</v>
      </c>
      <c r="H30" s="193">
        <f t="shared" si="22"/>
        <v>0</v>
      </c>
      <c r="I30" s="193">
        <f t="shared" si="22"/>
        <v>0</v>
      </c>
      <c r="J30" s="193">
        <f t="shared" si="22"/>
        <v>0</v>
      </c>
      <c r="K30" s="193">
        <f t="shared" si="22"/>
        <v>0</v>
      </c>
      <c r="L30" s="193">
        <f t="shared" si="22"/>
        <v>0</v>
      </c>
      <c r="M30" s="193">
        <f t="shared" si="22"/>
        <v>0</v>
      </c>
      <c r="N30" s="193">
        <f t="shared" si="22"/>
        <v>0</v>
      </c>
      <c r="O30" s="193">
        <f t="shared" si="22"/>
        <v>0</v>
      </c>
      <c r="P30" s="193">
        <f t="shared" si="22"/>
        <v>0</v>
      </c>
      <c r="Q30" s="193">
        <f t="shared" si="22"/>
        <v>0</v>
      </c>
      <c r="R30" s="193">
        <f t="shared" si="22"/>
        <v>0</v>
      </c>
      <c r="S30" s="193">
        <f t="shared" ref="S30:AF30" si="23">-S19</f>
        <v>0</v>
      </c>
      <c r="T30" s="193">
        <f t="shared" si="23"/>
        <v>0</v>
      </c>
      <c r="U30" s="193">
        <f t="shared" si="23"/>
        <v>0</v>
      </c>
      <c r="V30" s="193">
        <f t="shared" si="23"/>
        <v>0</v>
      </c>
      <c r="W30" s="193">
        <f t="shared" si="23"/>
        <v>0</v>
      </c>
      <c r="X30" s="193">
        <f t="shared" si="23"/>
        <v>0</v>
      </c>
      <c r="Y30" s="193">
        <f t="shared" si="23"/>
        <v>0</v>
      </c>
      <c r="Z30" s="193">
        <f t="shared" si="23"/>
        <v>0</v>
      </c>
      <c r="AA30" s="193">
        <f t="shared" si="23"/>
        <v>0</v>
      </c>
      <c r="AB30" s="193">
        <f t="shared" si="23"/>
        <v>0</v>
      </c>
      <c r="AC30" s="193">
        <f t="shared" si="23"/>
        <v>0</v>
      </c>
      <c r="AD30" s="193">
        <f t="shared" si="23"/>
        <v>0</v>
      </c>
      <c r="AE30" s="193">
        <f t="shared" si="23"/>
        <v>0</v>
      </c>
      <c r="AF30" s="193">
        <f t="shared" si="23"/>
        <v>0</v>
      </c>
    </row>
    <row r="31" spans="1:32" x14ac:dyDescent="0.2">
      <c r="A31" s="26" t="s">
        <v>378</v>
      </c>
      <c r="C31" s="14">
        <v>0</v>
      </c>
      <c r="D31" s="14">
        <v>0</v>
      </c>
      <c r="E31" s="14">
        <v>0</v>
      </c>
      <c r="F31" s="14">
        <v>0</v>
      </c>
      <c r="G31" s="14">
        <v>0</v>
      </c>
      <c r="H31" s="14">
        <v>0</v>
      </c>
      <c r="I31" s="14">
        <v>0</v>
      </c>
      <c r="J31" s="14">
        <v>0</v>
      </c>
      <c r="K31" s="14">
        <v>0</v>
      </c>
      <c r="L31" s="14">
        <v>0</v>
      </c>
      <c r="M31" s="14">
        <v>0</v>
      </c>
      <c r="N31" s="14">
        <v>0</v>
      </c>
      <c r="O31" s="14">
        <v>0</v>
      </c>
      <c r="P31" s="14">
        <v>0</v>
      </c>
      <c r="Q31" s="14">
        <v>0</v>
      </c>
      <c r="R31" s="14">
        <v>0</v>
      </c>
      <c r="S31" s="14">
        <v>0</v>
      </c>
      <c r="T31" s="14">
        <v>0</v>
      </c>
      <c r="U31" s="14">
        <v>0</v>
      </c>
      <c r="V31" s="14">
        <v>0</v>
      </c>
      <c r="W31" s="14">
        <v>0</v>
      </c>
      <c r="X31" s="14">
        <v>0</v>
      </c>
      <c r="Y31" s="14">
        <v>0</v>
      </c>
      <c r="Z31" s="14">
        <v>0</v>
      </c>
      <c r="AA31" s="14">
        <v>0</v>
      </c>
      <c r="AB31" s="14">
        <v>0</v>
      </c>
      <c r="AC31" s="14">
        <v>0</v>
      </c>
      <c r="AD31" s="14">
        <v>0</v>
      </c>
      <c r="AE31" s="14">
        <v>0</v>
      </c>
      <c r="AF31" s="14">
        <v>0</v>
      </c>
    </row>
    <row r="32" spans="1:32" ht="15" x14ac:dyDescent="0.25">
      <c r="A32" s="26" t="s">
        <v>379</v>
      </c>
      <c r="C32" s="124">
        <v>0</v>
      </c>
      <c r="D32" s="124">
        <v>0</v>
      </c>
      <c r="E32" s="124">
        <v>0</v>
      </c>
      <c r="F32" s="124">
        <v>0</v>
      </c>
      <c r="G32" s="124">
        <v>0</v>
      </c>
      <c r="H32" s="124">
        <v>0</v>
      </c>
      <c r="I32" s="124">
        <v>0</v>
      </c>
      <c r="J32" s="124">
        <v>0</v>
      </c>
      <c r="K32" s="124">
        <v>0</v>
      </c>
      <c r="L32" s="124">
        <v>0</v>
      </c>
      <c r="M32" s="511" t="s">
        <v>380</v>
      </c>
      <c r="N32" s="512"/>
      <c r="O32" s="512"/>
      <c r="P32" s="512"/>
      <c r="Q32" s="512"/>
      <c r="R32" s="512"/>
      <c r="S32" s="512"/>
      <c r="T32" s="512"/>
      <c r="U32" s="512"/>
      <c r="V32" s="512"/>
      <c r="W32" s="512"/>
      <c r="X32" s="512"/>
      <c r="Y32" s="512"/>
      <c r="Z32" s="512"/>
      <c r="AA32" s="512"/>
      <c r="AB32" s="512"/>
      <c r="AC32" s="512"/>
      <c r="AD32" s="512"/>
      <c r="AE32" s="512"/>
      <c r="AF32" s="512"/>
    </row>
    <row r="33" spans="1:32" x14ac:dyDescent="0.2">
      <c r="A33" s="26" t="s">
        <v>381</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c r="AB33" s="14">
        <v>0</v>
      </c>
      <c r="AC33" s="14">
        <v>0</v>
      </c>
      <c r="AD33" s="14">
        <v>0</v>
      </c>
      <c r="AE33" s="14">
        <v>0</v>
      </c>
      <c r="AF33" s="14">
        <v>0</v>
      </c>
    </row>
    <row r="34" spans="1:32" x14ac:dyDescent="0.2">
      <c r="A34" s="80" t="s">
        <v>382</v>
      </c>
      <c r="C34" s="14">
        <v>0</v>
      </c>
      <c r="D34" s="14">
        <v>0</v>
      </c>
      <c r="E34" s="14">
        <v>0</v>
      </c>
      <c r="F34" s="14">
        <v>0</v>
      </c>
      <c r="G34" s="14">
        <v>0</v>
      </c>
      <c r="H34" s="14">
        <v>0</v>
      </c>
      <c r="I34" s="14">
        <v>0</v>
      </c>
      <c r="J34" s="14">
        <v>0</v>
      </c>
      <c r="K34" s="14">
        <v>0</v>
      </c>
      <c r="L34" s="14">
        <v>0</v>
      </c>
      <c r="M34" s="14">
        <v>0</v>
      </c>
      <c r="N34" s="14">
        <v>0</v>
      </c>
      <c r="O34" s="14">
        <v>0</v>
      </c>
      <c r="P34" s="14">
        <v>0</v>
      </c>
      <c r="Q34" s="14">
        <v>0</v>
      </c>
      <c r="R34" s="14">
        <v>0</v>
      </c>
      <c r="S34" s="14">
        <v>0</v>
      </c>
      <c r="T34" s="14">
        <v>0</v>
      </c>
      <c r="U34" s="14">
        <v>0</v>
      </c>
      <c r="V34" s="14">
        <v>0</v>
      </c>
      <c r="W34" s="14">
        <v>0</v>
      </c>
      <c r="X34" s="14">
        <v>0</v>
      </c>
      <c r="Y34" s="14">
        <v>0</v>
      </c>
      <c r="Z34" s="14">
        <v>0</v>
      </c>
      <c r="AA34" s="14">
        <v>0</v>
      </c>
      <c r="AB34" s="14">
        <v>0</v>
      </c>
      <c r="AC34" s="14">
        <v>0</v>
      </c>
      <c r="AD34" s="14">
        <v>0</v>
      </c>
      <c r="AE34" s="14">
        <v>0</v>
      </c>
      <c r="AF34" s="14">
        <v>0</v>
      </c>
    </row>
    <row r="35" spans="1:32" x14ac:dyDescent="0.2">
      <c r="A35" s="27" t="s">
        <v>383</v>
      </c>
      <c r="C35" s="193">
        <f>SUM(C26:C34)</f>
        <v>0</v>
      </c>
      <c r="D35" s="193">
        <f>SUM(D26:D34)</f>
        <v>0</v>
      </c>
      <c r="E35" s="193">
        <f t="shared" ref="E35:AF35" si="24">SUM(E26:E34)</f>
        <v>0</v>
      </c>
      <c r="F35" s="193">
        <f t="shared" si="24"/>
        <v>0</v>
      </c>
      <c r="G35" s="193">
        <f t="shared" si="24"/>
        <v>0</v>
      </c>
      <c r="H35" s="193">
        <f t="shared" si="24"/>
        <v>0</v>
      </c>
      <c r="I35" s="193">
        <f t="shared" si="24"/>
        <v>0</v>
      </c>
      <c r="J35" s="193">
        <f t="shared" si="24"/>
        <v>0</v>
      </c>
      <c r="K35" s="193">
        <f t="shared" si="24"/>
        <v>0</v>
      </c>
      <c r="L35" s="193">
        <f t="shared" si="24"/>
        <v>0</v>
      </c>
      <c r="M35" s="193">
        <f t="shared" si="24"/>
        <v>0</v>
      </c>
      <c r="N35" s="193">
        <f t="shared" si="24"/>
        <v>0</v>
      </c>
      <c r="O35" s="193">
        <f t="shared" si="24"/>
        <v>0</v>
      </c>
      <c r="P35" s="193">
        <f t="shared" si="24"/>
        <v>0</v>
      </c>
      <c r="Q35" s="193">
        <f t="shared" si="24"/>
        <v>0</v>
      </c>
      <c r="R35" s="193">
        <f t="shared" si="24"/>
        <v>0</v>
      </c>
      <c r="S35" s="193">
        <f t="shared" si="24"/>
        <v>0</v>
      </c>
      <c r="T35" s="193">
        <f t="shared" si="24"/>
        <v>0</v>
      </c>
      <c r="U35" s="193">
        <f t="shared" si="24"/>
        <v>0</v>
      </c>
      <c r="V35" s="193">
        <f t="shared" si="24"/>
        <v>0</v>
      </c>
      <c r="W35" s="193">
        <f t="shared" si="24"/>
        <v>0</v>
      </c>
      <c r="X35" s="193">
        <f t="shared" si="24"/>
        <v>0</v>
      </c>
      <c r="Y35" s="193">
        <f t="shared" si="24"/>
        <v>0</v>
      </c>
      <c r="Z35" s="193">
        <f t="shared" si="24"/>
        <v>0</v>
      </c>
      <c r="AA35" s="193">
        <f t="shared" si="24"/>
        <v>0</v>
      </c>
      <c r="AB35" s="193">
        <f t="shared" si="24"/>
        <v>0</v>
      </c>
      <c r="AC35" s="193">
        <f t="shared" si="24"/>
        <v>0</v>
      </c>
      <c r="AD35" s="193">
        <f t="shared" si="24"/>
        <v>0</v>
      </c>
      <c r="AE35" s="193">
        <f t="shared" si="24"/>
        <v>0</v>
      </c>
      <c r="AF35" s="193">
        <f t="shared" si="24"/>
        <v>0</v>
      </c>
    </row>
    <row r="37" spans="1:32" ht="15" x14ac:dyDescent="0.25">
      <c r="A37" s="12" t="s">
        <v>384</v>
      </c>
      <c r="C37" s="240">
        <f t="shared" ref="C37:V37" si="25">C2</f>
        <v>1</v>
      </c>
      <c r="D37" s="240">
        <f t="shared" si="25"/>
        <v>2</v>
      </c>
      <c r="E37" s="240">
        <f t="shared" si="25"/>
        <v>3</v>
      </c>
      <c r="F37" s="240">
        <f t="shared" si="25"/>
        <v>4</v>
      </c>
      <c r="G37" s="240">
        <f t="shared" si="25"/>
        <v>5</v>
      </c>
      <c r="H37" s="240">
        <f t="shared" si="25"/>
        <v>6</v>
      </c>
      <c r="I37" s="240">
        <f t="shared" si="25"/>
        <v>7</v>
      </c>
      <c r="J37" s="240">
        <f t="shared" si="25"/>
        <v>8</v>
      </c>
      <c r="K37" s="240">
        <f t="shared" si="25"/>
        <v>9</v>
      </c>
      <c r="L37" s="240">
        <f t="shared" si="25"/>
        <v>10</v>
      </c>
      <c r="M37" s="240">
        <f t="shared" si="25"/>
        <v>11</v>
      </c>
      <c r="N37" s="240">
        <f t="shared" si="25"/>
        <v>12</v>
      </c>
      <c r="O37" s="240">
        <f t="shared" si="25"/>
        <v>13</v>
      </c>
      <c r="P37" s="240">
        <f t="shared" si="25"/>
        <v>14</v>
      </c>
      <c r="Q37" s="240">
        <f t="shared" si="25"/>
        <v>15</v>
      </c>
      <c r="R37" s="240">
        <f t="shared" si="25"/>
        <v>16</v>
      </c>
      <c r="S37" s="240">
        <f t="shared" si="25"/>
        <v>17</v>
      </c>
      <c r="T37" s="240">
        <f t="shared" si="25"/>
        <v>18</v>
      </c>
      <c r="U37" s="240">
        <f t="shared" si="25"/>
        <v>19</v>
      </c>
      <c r="V37" s="240">
        <f t="shared" si="25"/>
        <v>20</v>
      </c>
      <c r="W37" s="25"/>
      <c r="X37" s="25"/>
      <c r="Y37" s="25"/>
      <c r="Z37" s="25"/>
      <c r="AA37" s="25"/>
      <c r="AB37" s="25"/>
      <c r="AC37" s="25"/>
      <c r="AD37" s="25"/>
      <c r="AE37" s="25"/>
      <c r="AF37" s="25"/>
    </row>
    <row r="38" spans="1:32" x14ac:dyDescent="0.2">
      <c r="A38" s="27" t="s">
        <v>374</v>
      </c>
      <c r="C38" s="193">
        <f>'sources-uses'!C88</f>
        <v>0</v>
      </c>
      <c r="D38" s="193">
        <f>C42</f>
        <v>0</v>
      </c>
      <c r="E38" s="193">
        <f t="shared" ref="E38:V38" si="26">D42</f>
        <v>0</v>
      </c>
      <c r="F38" s="193">
        <f t="shared" si="26"/>
        <v>0</v>
      </c>
      <c r="G38" s="193">
        <f t="shared" si="26"/>
        <v>0</v>
      </c>
      <c r="H38" s="193">
        <f t="shared" si="26"/>
        <v>0</v>
      </c>
      <c r="I38" s="193">
        <f t="shared" si="26"/>
        <v>0</v>
      </c>
      <c r="J38" s="193">
        <f t="shared" si="26"/>
        <v>0</v>
      </c>
      <c r="K38" s="193">
        <f t="shared" si="26"/>
        <v>0</v>
      </c>
      <c r="L38" s="193">
        <f t="shared" si="26"/>
        <v>0</v>
      </c>
      <c r="M38" s="193">
        <f t="shared" si="26"/>
        <v>0</v>
      </c>
      <c r="N38" s="193">
        <f t="shared" si="26"/>
        <v>0</v>
      </c>
      <c r="O38" s="193">
        <f t="shared" si="26"/>
        <v>0</v>
      </c>
      <c r="P38" s="193">
        <f t="shared" si="26"/>
        <v>0</v>
      </c>
      <c r="Q38" s="193">
        <f t="shared" si="26"/>
        <v>0</v>
      </c>
      <c r="R38" s="193">
        <f t="shared" si="26"/>
        <v>0</v>
      </c>
      <c r="S38" s="193">
        <f t="shared" si="26"/>
        <v>0</v>
      </c>
      <c r="T38" s="193">
        <f t="shared" si="26"/>
        <v>0</v>
      </c>
      <c r="U38" s="193">
        <f t="shared" si="26"/>
        <v>0</v>
      </c>
      <c r="V38" s="193">
        <f t="shared" si="26"/>
        <v>0</v>
      </c>
    </row>
    <row r="39" spans="1:32" x14ac:dyDescent="0.2">
      <c r="A39" s="27" t="s">
        <v>375</v>
      </c>
      <c r="C39" s="193">
        <f>C11</f>
        <v>0</v>
      </c>
      <c r="D39" s="193">
        <f>D11</f>
        <v>0</v>
      </c>
      <c r="E39" s="193">
        <f t="shared" ref="E39:V39" si="27">E11</f>
        <v>0</v>
      </c>
      <c r="F39" s="193">
        <f t="shared" si="27"/>
        <v>0</v>
      </c>
      <c r="G39" s="193">
        <f t="shared" si="27"/>
        <v>0</v>
      </c>
      <c r="H39" s="193">
        <f t="shared" si="27"/>
        <v>0</v>
      </c>
      <c r="I39" s="193">
        <f t="shared" si="27"/>
        <v>0</v>
      </c>
      <c r="J39" s="193">
        <f t="shared" si="27"/>
        <v>0</v>
      </c>
      <c r="K39" s="193">
        <f t="shared" si="27"/>
        <v>0</v>
      </c>
      <c r="L39" s="193">
        <f t="shared" si="27"/>
        <v>0</v>
      </c>
      <c r="M39" s="193">
        <f t="shared" si="27"/>
        <v>0</v>
      </c>
      <c r="N39" s="193">
        <f t="shared" si="27"/>
        <v>0</v>
      </c>
      <c r="O39" s="193">
        <f t="shared" si="27"/>
        <v>0</v>
      </c>
      <c r="P39" s="193">
        <f t="shared" si="27"/>
        <v>0</v>
      </c>
      <c r="Q39" s="193">
        <f t="shared" si="27"/>
        <v>0</v>
      </c>
      <c r="R39" s="193">
        <f t="shared" si="27"/>
        <v>0</v>
      </c>
      <c r="S39" s="193">
        <f t="shared" si="27"/>
        <v>0</v>
      </c>
      <c r="T39" s="193">
        <f t="shared" si="27"/>
        <v>0</v>
      </c>
      <c r="U39" s="193">
        <f t="shared" si="27"/>
        <v>0</v>
      </c>
      <c r="V39" s="193">
        <f t="shared" si="27"/>
        <v>0</v>
      </c>
    </row>
    <row r="40" spans="1:32" x14ac:dyDescent="0.2">
      <c r="A40" s="27" t="s">
        <v>297</v>
      </c>
      <c r="B40" s="57">
        <v>0.02</v>
      </c>
      <c r="C40" s="193">
        <f>($B$40*C38)+IF(C39&gt;0,0.5*C39*$B$40,0)</f>
        <v>0</v>
      </c>
      <c r="D40" s="193">
        <f>($B$40*D38)+IF(D39&gt;0,0.5*D39*$B$40,0)</f>
        <v>0</v>
      </c>
      <c r="E40" s="193">
        <f t="shared" ref="E40:V40" si="28">($B$40*E38)+IF(E39&gt;0,0.5*E39*$B$40,0)</f>
        <v>0</v>
      </c>
      <c r="F40" s="193">
        <f t="shared" si="28"/>
        <v>0</v>
      </c>
      <c r="G40" s="193">
        <f t="shared" si="28"/>
        <v>0</v>
      </c>
      <c r="H40" s="193">
        <f t="shared" si="28"/>
        <v>0</v>
      </c>
      <c r="I40" s="193">
        <f t="shared" si="28"/>
        <v>0</v>
      </c>
      <c r="J40" s="193">
        <f t="shared" si="28"/>
        <v>0</v>
      </c>
      <c r="K40" s="193">
        <f t="shared" si="28"/>
        <v>0</v>
      </c>
      <c r="L40" s="193">
        <f t="shared" si="28"/>
        <v>0</v>
      </c>
      <c r="M40" s="193">
        <f t="shared" si="28"/>
        <v>0</v>
      </c>
      <c r="N40" s="193">
        <f t="shared" si="28"/>
        <v>0</v>
      </c>
      <c r="O40" s="193">
        <f t="shared" si="28"/>
        <v>0</v>
      </c>
      <c r="P40" s="193">
        <f t="shared" si="28"/>
        <v>0</v>
      </c>
      <c r="Q40" s="193">
        <f t="shared" si="28"/>
        <v>0</v>
      </c>
      <c r="R40" s="193">
        <f t="shared" si="28"/>
        <v>0</v>
      </c>
      <c r="S40" s="193">
        <f t="shared" si="28"/>
        <v>0</v>
      </c>
      <c r="T40" s="193">
        <f t="shared" si="28"/>
        <v>0</v>
      </c>
      <c r="U40" s="193">
        <f t="shared" si="28"/>
        <v>0</v>
      </c>
      <c r="V40" s="193">
        <f t="shared" si="28"/>
        <v>0</v>
      </c>
    </row>
    <row r="41" spans="1:32" x14ac:dyDescent="0.2">
      <c r="A41" s="27" t="s">
        <v>385</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row>
    <row r="42" spans="1:32" x14ac:dyDescent="0.2">
      <c r="A42" s="27" t="s">
        <v>383</v>
      </c>
      <c r="C42" s="193">
        <f>SUM(C38:C41)</f>
        <v>0</v>
      </c>
      <c r="D42" s="193">
        <f t="shared" ref="D42:V42" si="29">SUM(D38:D41)</f>
        <v>0</v>
      </c>
      <c r="E42" s="193">
        <f t="shared" si="29"/>
        <v>0</v>
      </c>
      <c r="F42" s="193">
        <f t="shared" si="29"/>
        <v>0</v>
      </c>
      <c r="G42" s="193">
        <f t="shared" si="29"/>
        <v>0</v>
      </c>
      <c r="H42" s="193">
        <f t="shared" si="29"/>
        <v>0</v>
      </c>
      <c r="I42" s="193">
        <f t="shared" si="29"/>
        <v>0</v>
      </c>
      <c r="J42" s="193">
        <f t="shared" si="29"/>
        <v>0</v>
      </c>
      <c r="K42" s="193">
        <f t="shared" si="29"/>
        <v>0</v>
      </c>
      <c r="L42" s="193">
        <f t="shared" si="29"/>
        <v>0</v>
      </c>
      <c r="M42" s="193">
        <f t="shared" si="29"/>
        <v>0</v>
      </c>
      <c r="N42" s="193">
        <f t="shared" si="29"/>
        <v>0</v>
      </c>
      <c r="O42" s="193">
        <f t="shared" si="29"/>
        <v>0</v>
      </c>
      <c r="P42" s="193">
        <f t="shared" si="29"/>
        <v>0</v>
      </c>
      <c r="Q42" s="193">
        <f t="shared" si="29"/>
        <v>0</v>
      </c>
      <c r="R42" s="193">
        <f t="shared" si="29"/>
        <v>0</v>
      </c>
      <c r="S42" s="193">
        <f t="shared" si="29"/>
        <v>0</v>
      </c>
      <c r="T42" s="193">
        <f t="shared" si="29"/>
        <v>0</v>
      </c>
      <c r="U42" s="193">
        <f t="shared" si="29"/>
        <v>0</v>
      </c>
      <c r="V42" s="193">
        <f t="shared" si="29"/>
        <v>0</v>
      </c>
    </row>
    <row r="43" spans="1:32" x14ac:dyDescent="0.2">
      <c r="A43" s="27"/>
    </row>
    <row r="44" spans="1:32" x14ac:dyDescent="0.2">
      <c r="C44" s="1">
        <v>1</v>
      </c>
      <c r="D44" s="1">
        <f t="shared" ref="D44:Q44" si="30">C44+1</f>
        <v>2</v>
      </c>
      <c r="E44" s="1">
        <f t="shared" si="30"/>
        <v>3</v>
      </c>
      <c r="F44" s="1">
        <f t="shared" si="30"/>
        <v>4</v>
      </c>
      <c r="G44" s="1">
        <f t="shared" si="30"/>
        <v>5</v>
      </c>
      <c r="H44" s="1">
        <f t="shared" si="30"/>
        <v>6</v>
      </c>
      <c r="I44" s="1">
        <f t="shared" si="30"/>
        <v>7</v>
      </c>
      <c r="J44" s="1">
        <f t="shared" si="30"/>
        <v>8</v>
      </c>
      <c r="K44" s="1">
        <f t="shared" si="30"/>
        <v>9</v>
      </c>
      <c r="L44" s="1">
        <f t="shared" si="30"/>
        <v>10</v>
      </c>
      <c r="M44" s="1">
        <f t="shared" si="30"/>
        <v>11</v>
      </c>
      <c r="N44" s="1">
        <f t="shared" si="30"/>
        <v>12</v>
      </c>
      <c r="O44" s="1">
        <f t="shared" si="30"/>
        <v>13</v>
      </c>
      <c r="P44" s="1">
        <f t="shared" si="30"/>
        <v>14</v>
      </c>
      <c r="Q44" s="1">
        <f t="shared" si="30"/>
        <v>15</v>
      </c>
    </row>
    <row r="45" spans="1:32" x14ac:dyDescent="0.2">
      <c r="A45" s="27" t="s">
        <v>364</v>
      </c>
      <c r="C45" s="193">
        <f>C14</f>
        <v>0</v>
      </c>
      <c r="D45" s="193">
        <f t="shared" ref="D45:Q45" si="31">D14</f>
        <v>0</v>
      </c>
      <c r="E45" s="193">
        <f t="shared" si="31"/>
        <v>0</v>
      </c>
      <c r="F45" s="193">
        <f t="shared" si="31"/>
        <v>0</v>
      </c>
      <c r="G45" s="193">
        <f t="shared" si="31"/>
        <v>0</v>
      </c>
      <c r="H45" s="193">
        <f t="shared" si="31"/>
        <v>0</v>
      </c>
      <c r="I45" s="193">
        <f t="shared" si="31"/>
        <v>0</v>
      </c>
      <c r="J45" s="193">
        <f t="shared" si="31"/>
        <v>0</v>
      </c>
      <c r="K45" s="193">
        <f t="shared" si="31"/>
        <v>0</v>
      </c>
      <c r="L45" s="193">
        <f t="shared" si="31"/>
        <v>0</v>
      </c>
      <c r="M45" s="193">
        <f t="shared" si="31"/>
        <v>0</v>
      </c>
      <c r="N45" s="193">
        <f t="shared" si="31"/>
        <v>0</v>
      </c>
      <c r="O45" s="193">
        <f t="shared" si="31"/>
        <v>0</v>
      </c>
      <c r="P45" s="193">
        <f t="shared" si="31"/>
        <v>0</v>
      </c>
      <c r="Q45" s="193">
        <f t="shared" si="31"/>
        <v>0</v>
      </c>
    </row>
    <row r="46" spans="1:32" x14ac:dyDescent="0.2">
      <c r="A46" s="27" t="s">
        <v>386</v>
      </c>
      <c r="C46" s="193">
        <f>C11</f>
        <v>0</v>
      </c>
      <c r="D46" s="193">
        <f t="shared" ref="D46:Q46" si="32">D11</f>
        <v>0</v>
      </c>
      <c r="E46" s="193">
        <f t="shared" si="32"/>
        <v>0</v>
      </c>
      <c r="F46" s="193">
        <f t="shared" si="32"/>
        <v>0</v>
      </c>
      <c r="G46" s="193">
        <f t="shared" si="32"/>
        <v>0</v>
      </c>
      <c r="H46" s="193">
        <f t="shared" si="32"/>
        <v>0</v>
      </c>
      <c r="I46" s="193">
        <f t="shared" si="32"/>
        <v>0</v>
      </c>
      <c r="J46" s="193">
        <f t="shared" si="32"/>
        <v>0</v>
      </c>
      <c r="K46" s="193">
        <f t="shared" si="32"/>
        <v>0</v>
      </c>
      <c r="L46" s="193">
        <f t="shared" si="32"/>
        <v>0</v>
      </c>
      <c r="M46" s="193">
        <f t="shared" si="32"/>
        <v>0</v>
      </c>
      <c r="N46" s="193">
        <f t="shared" si="32"/>
        <v>0</v>
      </c>
      <c r="O46" s="193">
        <f t="shared" si="32"/>
        <v>0</v>
      </c>
      <c r="P46" s="193">
        <f t="shared" si="32"/>
        <v>0</v>
      </c>
      <c r="Q46" s="193">
        <f t="shared" si="32"/>
        <v>0</v>
      </c>
    </row>
    <row r="47" spans="1:32" x14ac:dyDescent="0.2">
      <c r="A47" s="27" t="s">
        <v>387</v>
      </c>
      <c r="C47" s="193">
        <f>-C31</f>
        <v>0</v>
      </c>
      <c r="D47" s="193">
        <f t="shared" ref="D47:Q47" si="33">-D31</f>
        <v>0</v>
      </c>
      <c r="E47" s="193">
        <f t="shared" si="33"/>
        <v>0</v>
      </c>
      <c r="F47" s="193">
        <f t="shared" si="33"/>
        <v>0</v>
      </c>
      <c r="G47" s="193">
        <f t="shared" si="33"/>
        <v>0</v>
      </c>
      <c r="H47" s="193">
        <f t="shared" si="33"/>
        <v>0</v>
      </c>
      <c r="I47" s="193">
        <f t="shared" si="33"/>
        <v>0</v>
      </c>
      <c r="J47" s="193">
        <f t="shared" si="33"/>
        <v>0</v>
      </c>
      <c r="K47" s="193">
        <f t="shared" si="33"/>
        <v>0</v>
      </c>
      <c r="L47" s="193">
        <f t="shared" si="33"/>
        <v>0</v>
      </c>
      <c r="M47" s="193">
        <f t="shared" si="33"/>
        <v>0</v>
      </c>
      <c r="N47" s="193">
        <f t="shared" si="33"/>
        <v>0</v>
      </c>
      <c r="O47" s="193">
        <f t="shared" si="33"/>
        <v>0</v>
      </c>
      <c r="P47" s="193">
        <f t="shared" si="33"/>
        <v>0</v>
      </c>
      <c r="Q47" s="193">
        <f t="shared" si="33"/>
        <v>0</v>
      </c>
    </row>
    <row r="48" spans="1:32" x14ac:dyDescent="0.2">
      <c r="A48" s="27" t="s">
        <v>388</v>
      </c>
      <c r="C48" s="193">
        <f>-amortizations!B395</f>
        <v>0</v>
      </c>
      <c r="D48" s="193">
        <f>-amortizations!C395</f>
        <v>0</v>
      </c>
      <c r="E48" s="193">
        <f>-amortizations!D395</f>
        <v>0</v>
      </c>
      <c r="F48" s="193">
        <f>-amortizations!E395</f>
        <v>0</v>
      </c>
      <c r="G48" s="193">
        <f>-amortizations!F395</f>
        <v>0</v>
      </c>
      <c r="H48" s="193">
        <f>-amortizations!G395</f>
        <v>0</v>
      </c>
      <c r="I48" s="193">
        <f>-amortizations!H395</f>
        <v>0</v>
      </c>
      <c r="J48" s="193">
        <f>-amortizations!I395</f>
        <v>0</v>
      </c>
      <c r="K48" s="193">
        <f>-amortizations!J395</f>
        <v>0</v>
      </c>
      <c r="L48" s="193">
        <f>-amortizations!K395</f>
        <v>0</v>
      </c>
      <c r="M48" s="193">
        <f>-amortizations!L395</f>
        <v>0</v>
      </c>
      <c r="N48" s="193">
        <f>-amortizations!M395</f>
        <v>0</v>
      </c>
      <c r="O48" s="193">
        <f>-amortizations!N395</f>
        <v>0</v>
      </c>
      <c r="P48" s="193">
        <f>-amortizations!O395</f>
        <v>0</v>
      </c>
      <c r="Q48" s="193">
        <f>-amortizations!P395</f>
        <v>0</v>
      </c>
    </row>
    <row r="49" spans="1:21" x14ac:dyDescent="0.2">
      <c r="A49" s="27" t="s">
        <v>389</v>
      </c>
      <c r="C49" s="193">
        <f>IF(C2&lt;=assumptions!$E$11,-1*('credit calcs'!$Z$103),0)</f>
        <v>0</v>
      </c>
      <c r="D49" s="193">
        <f>IF(D2&lt;=assumptions!$E$11,-1*('credit calcs'!$Z$103),0)</f>
        <v>0</v>
      </c>
      <c r="E49" s="193">
        <f>IF(E2&lt;=assumptions!$E$11,-1*('credit calcs'!$Z$103),0)</f>
        <v>0</v>
      </c>
      <c r="F49" s="193">
        <f>IF(F2&lt;=assumptions!$E$11,-1*('credit calcs'!$Z$103),0)</f>
        <v>0</v>
      </c>
      <c r="G49" s="193">
        <f>IF(G2&lt;=assumptions!$E$11,-1*('credit calcs'!$Z$103),0)</f>
        <v>0</v>
      </c>
      <c r="H49" s="193">
        <f>IF(H2&lt;=assumptions!$E$11,-1*('credit calcs'!$Z$103),0)</f>
        <v>0</v>
      </c>
      <c r="I49" s="193">
        <f>IF(I2&lt;=assumptions!$E$11,-1*('credit calcs'!$Z$103),0)</f>
        <v>0</v>
      </c>
      <c r="J49" s="193">
        <f>IF(J2&lt;=assumptions!$E$11,-1*('credit calcs'!$Z$103),0)</f>
        <v>0</v>
      </c>
      <c r="K49" s="193">
        <f>IF(K2&lt;=assumptions!$E$11,-1*('credit calcs'!$Z$103),0)</f>
        <v>0</v>
      </c>
      <c r="L49" s="193">
        <f>IF(L2&lt;=assumptions!$E$11,-1*('credit calcs'!$Z$103),0)</f>
        <v>0</v>
      </c>
      <c r="M49" s="193">
        <f>IF(M2&lt;=assumptions!$E$11,-1*('credit calcs'!$Z$103),0)</f>
        <v>0</v>
      </c>
      <c r="N49" s="193">
        <f>IF(N2&lt;=assumptions!$E$11,-1*('credit calcs'!$Z$103),0)</f>
        <v>0</v>
      </c>
      <c r="O49" s="193">
        <f>IF(O2&lt;=assumptions!$E$11,-1*('credit calcs'!$Z$103),0)</f>
        <v>0</v>
      </c>
      <c r="P49" s="193">
        <f>IF(P2&lt;=assumptions!$E$11,-1*('credit calcs'!$Z$103),0)</f>
        <v>0</v>
      </c>
      <c r="Q49" s="193">
        <f>IF(Q2&lt;=assumptions!$E$11,-1*('credit calcs'!$Z$103),0)</f>
        <v>0</v>
      </c>
      <c r="S49" s="17"/>
      <c r="T49" s="17"/>
      <c r="U49" s="17"/>
    </row>
    <row r="50" spans="1:21" x14ac:dyDescent="0.2">
      <c r="A50" s="27" t="s">
        <v>390</v>
      </c>
      <c r="C50" s="193">
        <f>IF(C3&lt;=assumptions!$E$12,-1*('credit calcs'!$Z$111),0)</f>
        <v>0</v>
      </c>
      <c r="D50" s="193">
        <f>IF(D3&lt;=assumptions!$E$12,-1*('credit calcs'!$Z$111),0)</f>
        <v>0</v>
      </c>
      <c r="E50" s="193">
        <f>IF(E3&lt;=assumptions!$E$12,-1*('credit calcs'!$Z$111),0)</f>
        <v>0</v>
      </c>
      <c r="F50" s="193">
        <f>IF(F3&lt;=assumptions!$E$12,-1*('credit calcs'!$Z$111),0)</f>
        <v>0</v>
      </c>
      <c r="G50" s="193">
        <f>IF(G3&lt;=assumptions!$E$12,-1*('credit calcs'!$Z$111),0)</f>
        <v>0</v>
      </c>
      <c r="H50" s="193">
        <f>IF(H3&lt;=assumptions!$E$12,-1*('credit calcs'!$Z$111),0)</f>
        <v>0</v>
      </c>
      <c r="I50" s="193">
        <f>IF(I3&lt;=assumptions!$E$12,-1*('credit calcs'!$Z$111),0)</f>
        <v>0</v>
      </c>
      <c r="J50" s="193">
        <f>IF(J3&lt;=assumptions!$E$12,-1*('credit calcs'!$Z$111),0)</f>
        <v>0</v>
      </c>
      <c r="K50" s="193">
        <f>IF(K3&lt;=assumptions!$E$12,-1*('credit calcs'!$Z$111),0)</f>
        <v>0</v>
      </c>
      <c r="L50" s="193">
        <f>IF(L3&lt;=assumptions!$E$12,-1*('credit calcs'!$Z$111),0)</f>
        <v>0</v>
      </c>
      <c r="M50" s="193">
        <f>IF(M3&lt;=assumptions!$E$12,-1*('credit calcs'!$Z$111),0)</f>
        <v>0</v>
      </c>
      <c r="N50" s="193">
        <f>IF(N3&lt;=assumptions!$E$12,-1*('credit calcs'!$Z$111),0)</f>
        <v>0</v>
      </c>
      <c r="O50" s="193">
        <f>IF(O3&lt;=assumptions!$E$12,-1*('credit calcs'!$Z$111),0)</f>
        <v>0</v>
      </c>
      <c r="P50" s="193">
        <f>IF(P3&lt;=assumptions!$E$12,-1*('credit calcs'!$Z$111),0)</f>
        <v>0</v>
      </c>
      <c r="Q50" s="193">
        <f>IF(Q3&lt;=assumptions!$E$12,-1*('credit calcs'!$Z$111),0)</f>
        <v>0</v>
      </c>
      <c r="S50" s="17"/>
      <c r="T50" s="17"/>
      <c r="U50" s="17"/>
    </row>
    <row r="51" spans="1:21" x14ac:dyDescent="0.2">
      <c r="A51" s="81" t="s">
        <v>391</v>
      </c>
      <c r="C51" s="193">
        <f>IF(C2&lt;=assumptions!$E$13,-1*('credit calcs'!$Z$107),0)</f>
        <v>0</v>
      </c>
      <c r="D51" s="193">
        <f>IF(D2&lt;=assumptions!$E$13,-1*('credit calcs'!$Z$107),0)</f>
        <v>0</v>
      </c>
      <c r="E51" s="193">
        <f>IF(E2&lt;=assumptions!$E$13,-1*('credit calcs'!$Z$107),0)</f>
        <v>0</v>
      </c>
      <c r="F51" s="193">
        <f>IF(F2&lt;=assumptions!$E$13,-1*('credit calcs'!$Z$107),0)</f>
        <v>0</v>
      </c>
      <c r="G51" s="193">
        <f>IF(G2&lt;=assumptions!$E$13,-1*('credit calcs'!$Z$107),0)</f>
        <v>0</v>
      </c>
      <c r="H51" s="193">
        <f>IF(H2&lt;=assumptions!$E$13,-1*('credit calcs'!$Z$107),0)</f>
        <v>0</v>
      </c>
      <c r="I51" s="193">
        <f>IF(I2&lt;=assumptions!$E$13,-1*('credit calcs'!$Z$107),0)</f>
        <v>0</v>
      </c>
      <c r="J51" s="193">
        <f>IF(J2&lt;=assumptions!$E$13,-1*('credit calcs'!$Z$107),0)</f>
        <v>0</v>
      </c>
      <c r="K51" s="193">
        <f>IF(K2&lt;=assumptions!$E$13,-1*('credit calcs'!$Z$107),0)</f>
        <v>0</v>
      </c>
      <c r="L51" s="193">
        <f>IF(L2&lt;=assumptions!$E$13,-1*('credit calcs'!$Z$107),0)</f>
        <v>0</v>
      </c>
      <c r="M51" s="193">
        <f>IF(M2&lt;=assumptions!$E$13,-1*('credit calcs'!$Z$107),0)</f>
        <v>0</v>
      </c>
      <c r="N51" s="193">
        <f>IF(N2&lt;=assumptions!$E$13,-1*('credit calcs'!$Z$107),0)</f>
        <v>0</v>
      </c>
      <c r="O51" s="193">
        <f>IF(O2&lt;=assumptions!$E$13,-1*('credit calcs'!$Z$107),0)</f>
        <v>0</v>
      </c>
      <c r="P51" s="193">
        <f>IF(P2&lt;=assumptions!$E$13,-1*('credit calcs'!$Z$107),0)</f>
        <v>0</v>
      </c>
      <c r="Q51" s="193">
        <f>IF(Q2&lt;=assumptions!$E$13,-1*('credit calcs'!$Z$107),0)</f>
        <v>0</v>
      </c>
      <c r="S51" s="13"/>
    </row>
    <row r="52" spans="1:21" x14ac:dyDescent="0.2">
      <c r="A52" s="27" t="s">
        <v>392</v>
      </c>
      <c r="C52" s="221">
        <f>SUM(C45:C51)</f>
        <v>0</v>
      </c>
      <c r="D52" s="221">
        <f t="shared" ref="D52:Q52" si="34">SUM(D45:D51)</f>
        <v>0</v>
      </c>
      <c r="E52" s="221">
        <f t="shared" si="34"/>
        <v>0</v>
      </c>
      <c r="F52" s="221">
        <f t="shared" si="34"/>
        <v>0</v>
      </c>
      <c r="G52" s="221">
        <f t="shared" si="34"/>
        <v>0</v>
      </c>
      <c r="H52" s="221">
        <f t="shared" si="34"/>
        <v>0</v>
      </c>
      <c r="I52" s="221">
        <f t="shared" si="34"/>
        <v>0</v>
      </c>
      <c r="J52" s="221">
        <f t="shared" si="34"/>
        <v>0</v>
      </c>
      <c r="K52" s="221">
        <f t="shared" si="34"/>
        <v>0</v>
      </c>
      <c r="L52" s="221">
        <f t="shared" si="34"/>
        <v>0</v>
      </c>
      <c r="M52" s="221">
        <f t="shared" si="34"/>
        <v>0</v>
      </c>
      <c r="N52" s="221">
        <f t="shared" si="34"/>
        <v>0</v>
      </c>
      <c r="O52" s="221">
        <f t="shared" si="34"/>
        <v>0</v>
      </c>
      <c r="P52" s="221">
        <f t="shared" si="34"/>
        <v>0</v>
      </c>
      <c r="Q52" s="221">
        <f t="shared" si="34"/>
        <v>0</v>
      </c>
      <c r="S52" s="13"/>
    </row>
    <row r="53" spans="1:21" x14ac:dyDescent="0.2">
      <c r="A53" s="27"/>
      <c r="C53" s="16"/>
      <c r="D53" s="16"/>
      <c r="E53" s="16"/>
      <c r="F53" s="16"/>
      <c r="G53" s="16"/>
      <c r="H53" s="16"/>
      <c r="I53" s="16"/>
      <c r="J53" s="16"/>
      <c r="K53" s="16"/>
      <c r="L53" s="16"/>
      <c r="M53" s="16"/>
      <c r="N53" s="16"/>
      <c r="O53" s="16"/>
      <c r="P53" s="16"/>
      <c r="Q53" s="16"/>
      <c r="S53" s="13"/>
    </row>
    <row r="54" spans="1:21" x14ac:dyDescent="0.2">
      <c r="A54" s="27" t="s">
        <v>393</v>
      </c>
      <c r="C54" s="16">
        <v>0</v>
      </c>
      <c r="D54" s="16">
        <v>0</v>
      </c>
      <c r="E54" s="16">
        <v>0</v>
      </c>
      <c r="F54" s="16">
        <v>0</v>
      </c>
      <c r="G54" s="16">
        <v>0</v>
      </c>
      <c r="H54" s="16">
        <v>0</v>
      </c>
      <c r="I54" s="16">
        <v>0</v>
      </c>
      <c r="J54" s="16">
        <v>0</v>
      </c>
      <c r="K54" s="16">
        <v>0</v>
      </c>
      <c r="L54" s="16">
        <v>0</v>
      </c>
      <c r="M54" s="16">
        <v>0</v>
      </c>
      <c r="N54" s="16">
        <v>0</v>
      </c>
      <c r="O54" s="16">
        <v>0</v>
      </c>
      <c r="P54" s="16">
        <v>0</v>
      </c>
      <c r="Q54" s="16">
        <v>0</v>
      </c>
      <c r="S54" s="13"/>
    </row>
    <row r="55" spans="1:21" x14ac:dyDescent="0.2">
      <c r="A55" s="27" t="s">
        <v>394</v>
      </c>
      <c r="C55" s="14">
        <f>-cashflows!C52*assumptions!$E$10</f>
        <v>0</v>
      </c>
      <c r="D55" s="14">
        <f>-D52*assumptions!$E$10</f>
        <v>0</v>
      </c>
      <c r="E55" s="14">
        <f>-E52*assumptions!$E$10</f>
        <v>0</v>
      </c>
      <c r="F55" s="14">
        <f>-F52*assumptions!$E$10</f>
        <v>0</v>
      </c>
      <c r="G55" s="14">
        <f>-G52*assumptions!$E$10</f>
        <v>0</v>
      </c>
      <c r="H55" s="14">
        <f>-H52*assumptions!$E$10</f>
        <v>0</v>
      </c>
      <c r="I55" s="14">
        <f>-I52*assumptions!$E$10</f>
        <v>0</v>
      </c>
      <c r="J55" s="14">
        <f>-J52*assumptions!$E$10</f>
        <v>0</v>
      </c>
      <c r="K55" s="14">
        <f>-K52*assumptions!$E$10</f>
        <v>0</v>
      </c>
      <c r="L55" s="14">
        <f>-L52*assumptions!$E$10</f>
        <v>0</v>
      </c>
      <c r="M55" s="14">
        <f>-M52*assumptions!$E$10</f>
        <v>0</v>
      </c>
      <c r="N55" s="14">
        <f>-N52*assumptions!$E$10</f>
        <v>0</v>
      </c>
      <c r="O55" s="14">
        <f>-O52*assumptions!$E$10</f>
        <v>0</v>
      </c>
      <c r="P55" s="14">
        <f>-P52*assumptions!$E$10</f>
        <v>0</v>
      </c>
      <c r="Q55" s="14">
        <f>-Q52*assumptions!$E$10</f>
        <v>0</v>
      </c>
      <c r="S55" s="13"/>
      <c r="T55" s="57"/>
    </row>
    <row r="56" spans="1:21" x14ac:dyDescent="0.2">
      <c r="A56" s="27" t="s">
        <v>395</v>
      </c>
      <c r="C56" s="14">
        <f>'credit calcs'!$AA$97/5</f>
        <v>0</v>
      </c>
      <c r="D56" s="14">
        <f>'credit calcs'!$AA$97/5</f>
        <v>0</v>
      </c>
      <c r="E56" s="14">
        <f>'credit calcs'!$AA$97/5</f>
        <v>0</v>
      </c>
      <c r="F56" s="14">
        <f>'credit calcs'!$AA$97/5</f>
        <v>0</v>
      </c>
      <c r="G56" s="14">
        <f>'credit calcs'!$AA$97/5</f>
        <v>0</v>
      </c>
      <c r="H56" s="14"/>
      <c r="I56" s="14"/>
      <c r="J56" s="14"/>
      <c r="K56" s="14"/>
      <c r="L56" s="14"/>
      <c r="M56" s="14"/>
      <c r="N56" s="14"/>
      <c r="O56" s="14"/>
      <c r="P56" s="14"/>
      <c r="Q56" s="14"/>
      <c r="S56" s="13"/>
      <c r="T56" s="57"/>
    </row>
    <row r="57" spans="1:21" x14ac:dyDescent="0.2">
      <c r="A57" s="27" t="s">
        <v>396</v>
      </c>
      <c r="C57" s="14">
        <f>'credit calcs'!AB97+'credit calcs'!AC97</f>
        <v>0</v>
      </c>
      <c r="D57" s="14"/>
      <c r="E57" s="14"/>
      <c r="F57" s="14"/>
      <c r="G57" s="14"/>
      <c r="H57" s="14"/>
      <c r="I57" s="14"/>
      <c r="J57" s="14"/>
      <c r="K57" s="14"/>
      <c r="L57" s="14"/>
      <c r="M57" s="14"/>
      <c r="N57" s="14"/>
      <c r="O57" s="14"/>
      <c r="P57" s="14"/>
      <c r="Q57" s="14"/>
      <c r="S57" s="13"/>
      <c r="T57" s="57"/>
    </row>
    <row r="58" spans="1:21" x14ac:dyDescent="0.2">
      <c r="A58" s="27" t="s">
        <v>397</v>
      </c>
      <c r="C58" s="14">
        <v>0</v>
      </c>
      <c r="D58" s="14">
        <v>0</v>
      </c>
      <c r="E58" s="14">
        <v>0</v>
      </c>
      <c r="F58" s="14">
        <v>0</v>
      </c>
      <c r="G58" s="14">
        <v>0</v>
      </c>
      <c r="H58" s="14"/>
      <c r="I58" s="14"/>
      <c r="J58" s="14"/>
      <c r="K58" s="14"/>
      <c r="L58" s="14"/>
      <c r="M58" s="14"/>
      <c r="N58" s="14"/>
      <c r="O58" s="14"/>
      <c r="P58" s="14"/>
      <c r="Q58" s="14"/>
      <c r="S58" s="13"/>
      <c r="T58" s="57"/>
    </row>
    <row r="59" spans="1:21" x14ac:dyDescent="0.2">
      <c r="A59" s="27" t="s">
        <v>398</v>
      </c>
      <c r="C59" s="14">
        <f>assumptions!$B$15</f>
        <v>0</v>
      </c>
      <c r="D59" s="14">
        <f>assumptions!$B$15</f>
        <v>0</v>
      </c>
      <c r="E59" s="14">
        <f>assumptions!$B$15</f>
        <v>0</v>
      </c>
      <c r="F59" s="14">
        <f>assumptions!$B$15</f>
        <v>0</v>
      </c>
      <c r="G59" s="14">
        <f>assumptions!$B$15</f>
        <v>0</v>
      </c>
      <c r="H59" s="14">
        <f>assumptions!$B$15</f>
        <v>0</v>
      </c>
      <c r="I59" s="14">
        <f>assumptions!$B$15</f>
        <v>0</v>
      </c>
      <c r="J59" s="14">
        <f>assumptions!$B$15</f>
        <v>0</v>
      </c>
      <c r="K59" s="14">
        <f>assumptions!$B$15</f>
        <v>0</v>
      </c>
      <c r="L59" s="14">
        <f>assumptions!$B$15</f>
        <v>0</v>
      </c>
      <c r="M59" s="14"/>
      <c r="N59" s="14"/>
      <c r="O59" s="14"/>
      <c r="P59" s="14"/>
      <c r="Q59" s="14"/>
    </row>
    <row r="60" spans="1:21" ht="15" thickBot="1" x14ac:dyDescent="0.25">
      <c r="A60" s="27" t="s">
        <v>399</v>
      </c>
      <c r="C60" s="221">
        <f>SUM(C54:C59)</f>
        <v>0</v>
      </c>
      <c r="D60" s="221">
        <f t="shared" ref="D60:Q60" si="35">SUM(D54:D59)</f>
        <v>0</v>
      </c>
      <c r="E60" s="221">
        <f t="shared" si="35"/>
        <v>0</v>
      </c>
      <c r="F60" s="221">
        <f t="shared" si="35"/>
        <v>0</v>
      </c>
      <c r="G60" s="221">
        <f t="shared" si="35"/>
        <v>0</v>
      </c>
      <c r="H60" s="221">
        <f t="shared" si="35"/>
        <v>0</v>
      </c>
      <c r="I60" s="221">
        <f t="shared" si="35"/>
        <v>0</v>
      </c>
      <c r="J60" s="221">
        <f t="shared" si="35"/>
        <v>0</v>
      </c>
      <c r="K60" s="221">
        <f t="shared" si="35"/>
        <v>0</v>
      </c>
      <c r="L60" s="221">
        <f t="shared" si="35"/>
        <v>0</v>
      </c>
      <c r="M60" s="221">
        <f t="shared" si="35"/>
        <v>0</v>
      </c>
      <c r="N60" s="221">
        <f t="shared" si="35"/>
        <v>0</v>
      </c>
      <c r="O60" s="221">
        <f t="shared" si="35"/>
        <v>0</v>
      </c>
      <c r="P60" s="221">
        <f t="shared" si="35"/>
        <v>0</v>
      </c>
      <c r="Q60" s="221">
        <f t="shared" si="35"/>
        <v>0</v>
      </c>
    </row>
    <row r="61" spans="1:21" ht="15" thickTop="1" x14ac:dyDescent="0.2">
      <c r="A61" s="27"/>
      <c r="C61" s="58"/>
      <c r="D61" s="58"/>
      <c r="E61" s="58"/>
      <c r="F61" s="58"/>
      <c r="G61" s="58"/>
      <c r="H61" s="58"/>
      <c r="I61" s="58"/>
      <c r="J61" s="58"/>
      <c r="K61" s="58"/>
      <c r="L61" s="58"/>
      <c r="M61" s="58"/>
      <c r="N61" s="58"/>
      <c r="O61" s="30"/>
      <c r="P61" s="30"/>
      <c r="Q61" s="30"/>
    </row>
    <row r="62" spans="1:21" x14ac:dyDescent="0.2">
      <c r="A62" s="27"/>
      <c r="C62" s="17"/>
      <c r="D62" s="17"/>
      <c r="E62" s="17"/>
      <c r="F62" s="17"/>
      <c r="G62" s="17"/>
      <c r="H62" s="17"/>
      <c r="I62" s="17"/>
      <c r="J62" s="17"/>
      <c r="K62" s="17"/>
      <c r="L62" s="17"/>
      <c r="M62" s="17"/>
      <c r="N62" s="17"/>
    </row>
    <row r="63" spans="1:21" x14ac:dyDescent="0.2">
      <c r="A63" s="27"/>
      <c r="C63" s="17"/>
      <c r="D63" s="17"/>
      <c r="E63" s="17"/>
      <c r="F63" s="17"/>
      <c r="G63" s="17"/>
      <c r="H63" s="17"/>
      <c r="I63" s="17"/>
      <c r="J63" s="17"/>
      <c r="K63" s="17"/>
      <c r="L63" s="17"/>
      <c r="M63" s="17"/>
      <c r="N63" s="17"/>
    </row>
    <row r="64" spans="1:21" ht="15" x14ac:dyDescent="0.25">
      <c r="A64" s="82" t="s">
        <v>400</v>
      </c>
      <c r="B64" s="37"/>
      <c r="C64" s="83"/>
      <c r="D64" s="83"/>
      <c r="E64" s="83"/>
      <c r="F64" s="83"/>
      <c r="G64" s="83"/>
      <c r="H64" s="83"/>
      <c r="I64" s="83"/>
      <c r="J64" s="83"/>
      <c r="K64" s="83"/>
      <c r="L64" s="83"/>
      <c r="M64" s="83"/>
      <c r="N64" s="83"/>
      <c r="O64" s="37"/>
      <c r="P64" s="37"/>
      <c r="Q64" s="37"/>
    </row>
    <row r="65" spans="1:17" x14ac:dyDescent="0.2">
      <c r="A65" s="27" t="s">
        <v>401</v>
      </c>
      <c r="B65" s="12">
        <v>15</v>
      </c>
    </row>
    <row r="66" spans="1:17" x14ac:dyDescent="0.2">
      <c r="A66" s="27" t="s">
        <v>402</v>
      </c>
      <c r="B66" s="57">
        <v>0.06</v>
      </c>
    </row>
    <row r="67" spans="1:17" x14ac:dyDescent="0.2">
      <c r="A67" s="26"/>
      <c r="C67" s="243">
        <v>1</v>
      </c>
      <c r="D67" s="243">
        <f t="shared" ref="D67:Q67" si="36">C67+1</f>
        <v>2</v>
      </c>
      <c r="E67" s="243">
        <f t="shared" si="36"/>
        <v>3</v>
      </c>
      <c r="F67" s="243">
        <f t="shared" si="36"/>
        <v>4</v>
      </c>
      <c r="G67" s="243">
        <f t="shared" si="36"/>
        <v>5</v>
      </c>
      <c r="H67" s="243">
        <f t="shared" si="36"/>
        <v>6</v>
      </c>
      <c r="I67" s="243">
        <f t="shared" si="36"/>
        <v>7</v>
      </c>
      <c r="J67" s="243">
        <f t="shared" si="36"/>
        <v>8</v>
      </c>
      <c r="K67" s="243">
        <f t="shared" si="36"/>
        <v>9</v>
      </c>
      <c r="L67" s="243">
        <f t="shared" si="36"/>
        <v>10</v>
      </c>
      <c r="M67" s="243">
        <f t="shared" si="36"/>
        <v>11</v>
      </c>
      <c r="N67" s="243">
        <f t="shared" si="36"/>
        <v>12</v>
      </c>
      <c r="O67" s="243">
        <f t="shared" si="36"/>
        <v>13</v>
      </c>
      <c r="P67" s="243">
        <f t="shared" si="36"/>
        <v>14</v>
      </c>
      <c r="Q67" s="243">
        <f t="shared" si="36"/>
        <v>15</v>
      </c>
    </row>
    <row r="68" spans="1:17" x14ac:dyDescent="0.2">
      <c r="A68" s="27" t="s">
        <v>403</v>
      </c>
      <c r="C68" s="1">
        <f>C60</f>
        <v>0</v>
      </c>
      <c r="D68" s="1">
        <f t="shared" ref="D68:Q68" si="37">D60</f>
        <v>0</v>
      </c>
      <c r="E68" s="1">
        <f t="shared" si="37"/>
        <v>0</v>
      </c>
      <c r="F68" s="1">
        <f t="shared" si="37"/>
        <v>0</v>
      </c>
      <c r="G68" s="1">
        <f t="shared" si="37"/>
        <v>0</v>
      </c>
      <c r="H68" s="1">
        <f t="shared" si="37"/>
        <v>0</v>
      </c>
      <c r="I68" s="1">
        <f t="shared" si="37"/>
        <v>0</v>
      </c>
      <c r="J68" s="1">
        <f t="shared" si="37"/>
        <v>0</v>
      </c>
      <c r="K68" s="1">
        <f t="shared" si="37"/>
        <v>0</v>
      </c>
      <c r="L68" s="1">
        <f t="shared" si="37"/>
        <v>0</v>
      </c>
      <c r="M68" s="1">
        <f t="shared" si="37"/>
        <v>0</v>
      </c>
      <c r="N68" s="1">
        <f t="shared" si="37"/>
        <v>0</v>
      </c>
      <c r="O68" s="1">
        <f t="shared" si="37"/>
        <v>0</v>
      </c>
      <c r="P68" s="1">
        <f t="shared" si="37"/>
        <v>0</v>
      </c>
      <c r="Q68" s="1">
        <f t="shared" si="37"/>
        <v>0</v>
      </c>
    </row>
    <row r="69" spans="1:17" x14ac:dyDescent="0.2">
      <c r="A69" s="27" t="s">
        <v>404</v>
      </c>
      <c r="C69" s="1">
        <f>C68*((1+$B$66)^($B$65-B70))</f>
        <v>0</v>
      </c>
      <c r="D69" s="1">
        <f>D68*((1+$B$66)^($B$65-C67))</f>
        <v>0</v>
      </c>
      <c r="E69" s="1">
        <f>E68*((1+$B$66)^($B$65-D67))</f>
        <v>0</v>
      </c>
      <c r="F69" s="1">
        <f>F68*((1+$B$66)^($B$65-E67))</f>
        <v>0</v>
      </c>
      <c r="G69" s="1">
        <f>G68*((1+$B$66)^($B$65-F67))</f>
        <v>0</v>
      </c>
      <c r="H69" s="1">
        <f t="shared" ref="H69:Q69" si="38">H68*((1+$B$66)^($B$65-G67))</f>
        <v>0</v>
      </c>
      <c r="I69" s="1">
        <f t="shared" si="38"/>
        <v>0</v>
      </c>
      <c r="J69" s="1">
        <f t="shared" si="38"/>
        <v>0</v>
      </c>
      <c r="K69" s="1">
        <f t="shared" si="38"/>
        <v>0</v>
      </c>
      <c r="L69" s="1">
        <f t="shared" si="38"/>
        <v>0</v>
      </c>
      <c r="M69" s="1">
        <f t="shared" si="38"/>
        <v>0</v>
      </c>
      <c r="N69" s="1">
        <f t="shared" si="38"/>
        <v>0</v>
      </c>
      <c r="O69" s="1">
        <f t="shared" si="38"/>
        <v>0</v>
      </c>
      <c r="P69" s="1">
        <f t="shared" si="38"/>
        <v>0</v>
      </c>
      <c r="Q69" s="1">
        <f t="shared" si="38"/>
        <v>0</v>
      </c>
    </row>
    <row r="70" spans="1:17" x14ac:dyDescent="0.2">
      <c r="B70" s="17"/>
    </row>
    <row r="71" spans="1:17" x14ac:dyDescent="0.2">
      <c r="A71" s="26" t="s">
        <v>405</v>
      </c>
      <c r="B71" s="84">
        <v>0.03</v>
      </c>
      <c r="C71" s="17"/>
      <c r="D71" s="17"/>
      <c r="E71" s="17"/>
      <c r="F71" s="17"/>
      <c r="G71" s="17"/>
      <c r="H71" s="17"/>
      <c r="I71" s="17"/>
      <c r="J71" s="17"/>
      <c r="K71" s="17"/>
      <c r="L71" s="17"/>
      <c r="M71" s="17"/>
      <c r="N71" s="17"/>
      <c r="O71" s="17"/>
      <c r="P71" s="17"/>
    </row>
    <row r="72" spans="1:17" x14ac:dyDescent="0.2">
      <c r="A72" s="26" t="s">
        <v>406</v>
      </c>
      <c r="B72" s="12">
        <v>1</v>
      </c>
      <c r="C72" s="12">
        <v>2</v>
      </c>
      <c r="D72" s="12">
        <v>3</v>
      </c>
      <c r="E72" s="12">
        <v>4</v>
      </c>
    </row>
    <row r="73" spans="1:17" x14ac:dyDescent="0.2">
      <c r="A73" s="26" t="s">
        <v>407</v>
      </c>
      <c r="B73" s="85"/>
      <c r="C73" s="85"/>
      <c r="D73" s="85"/>
      <c r="E73" s="85"/>
    </row>
    <row r="74" spans="1:17" x14ac:dyDescent="0.2">
      <c r="A74" s="27" t="s">
        <v>408</v>
      </c>
      <c r="B74" s="12">
        <v>0</v>
      </c>
      <c r="C74" s="12">
        <v>0</v>
      </c>
      <c r="D74" s="12">
        <v>0</v>
      </c>
      <c r="E74" s="12">
        <v>0</v>
      </c>
    </row>
    <row r="75" spans="1:17" x14ac:dyDescent="0.2">
      <c r="A75" s="27" t="s">
        <v>409</v>
      </c>
      <c r="B75" s="1">
        <f>B74</f>
        <v>0</v>
      </c>
      <c r="C75" s="173">
        <f>C74*(1/(1+($B$71/360))^(C73-$B$73))</f>
        <v>0</v>
      </c>
      <c r="D75" s="173">
        <f>D74*(1/(1+($B$71/360))^(D73-$B$73))</f>
        <v>0</v>
      </c>
      <c r="E75" s="173">
        <f>E74*(1/(1+($B$71/360))^(E73-$B$73))</f>
        <v>0</v>
      </c>
      <c r="F75" s="37"/>
      <c r="G75" s="37"/>
      <c r="H75" s="37"/>
      <c r="I75" s="37"/>
      <c r="J75" s="37"/>
      <c r="K75" s="37"/>
      <c r="L75" s="37"/>
      <c r="M75" s="37"/>
      <c r="N75" s="37"/>
      <c r="O75" s="37"/>
      <c r="P75" s="37"/>
    </row>
    <row r="76" spans="1:17" x14ac:dyDescent="0.2">
      <c r="A76" s="27" t="s">
        <v>410</v>
      </c>
      <c r="B76" s="224">
        <f>-SUM(B75:E75)</f>
        <v>0</v>
      </c>
      <c r="D76" s="17"/>
      <c r="E76" s="17"/>
      <c r="F76" s="17"/>
      <c r="G76" s="17"/>
      <c r="H76" s="17"/>
      <c r="I76" s="17"/>
      <c r="J76" s="17"/>
      <c r="K76" s="17"/>
      <c r="L76" s="17"/>
      <c r="M76" s="17"/>
      <c r="N76" s="17"/>
      <c r="O76" s="17"/>
      <c r="P76" s="17"/>
      <c r="Q76" s="87"/>
    </row>
    <row r="77" spans="1:17" x14ac:dyDescent="0.2">
      <c r="A77" s="27"/>
      <c r="C77" s="17"/>
      <c r="D77" s="17"/>
      <c r="E77" s="17"/>
      <c r="F77" s="17"/>
      <c r="G77" s="17"/>
      <c r="H77" s="17"/>
      <c r="I77" s="17"/>
      <c r="J77" s="17"/>
      <c r="K77" s="17"/>
      <c r="L77" s="17"/>
      <c r="M77" s="17"/>
      <c r="N77" s="17"/>
      <c r="O77" s="17"/>
      <c r="P77" s="17"/>
      <c r="Q77" s="17"/>
    </row>
    <row r="78" spans="1:17" x14ac:dyDescent="0.2">
      <c r="A78" s="27" t="s">
        <v>411</v>
      </c>
      <c r="B78" s="244" t="e">
        <f>IRR(B76:Q76,0.12)</f>
        <v>#NUM!</v>
      </c>
      <c r="C78" s="17"/>
      <c r="D78" s="17"/>
      <c r="E78" s="17"/>
      <c r="F78" s="17"/>
      <c r="G78" s="17"/>
      <c r="H78" s="17"/>
      <c r="I78" s="17"/>
      <c r="J78" s="17"/>
      <c r="K78" s="17"/>
      <c r="L78" s="17"/>
      <c r="M78" s="17"/>
      <c r="N78" s="17"/>
      <c r="O78" s="17"/>
      <c r="P78" s="17"/>
      <c r="Q78" s="17"/>
    </row>
    <row r="79" spans="1:17" x14ac:dyDescent="0.2">
      <c r="A79" s="27" t="s">
        <v>412</v>
      </c>
      <c r="B79" s="1" t="e">
        <f>B76/(SUM(C59:L59)*assumptions!E71)</f>
        <v>#DIV/0!</v>
      </c>
      <c r="C79" s="17"/>
      <c r="D79" s="17"/>
      <c r="E79" s="17"/>
      <c r="F79" s="17"/>
      <c r="G79" s="17"/>
      <c r="H79" s="17"/>
      <c r="I79" s="17"/>
      <c r="J79" s="17"/>
      <c r="K79" s="17"/>
      <c r="L79" s="17"/>
      <c r="M79" s="17"/>
      <c r="N79" s="17"/>
      <c r="O79" s="17"/>
      <c r="P79" s="17"/>
      <c r="Q79" s="17"/>
    </row>
    <row r="80" spans="1:17" x14ac:dyDescent="0.2">
      <c r="A80" s="13"/>
      <c r="C80" s="17"/>
      <c r="D80" s="17"/>
      <c r="E80" s="17"/>
      <c r="F80" s="17"/>
      <c r="G80" s="17"/>
      <c r="H80" s="17"/>
      <c r="I80" s="17"/>
      <c r="J80" s="17"/>
      <c r="K80" s="17"/>
      <c r="L80" s="17"/>
      <c r="M80" s="17"/>
      <c r="N80" s="17"/>
      <c r="O80" s="17"/>
      <c r="P80" s="17"/>
      <c r="Q80" s="17"/>
    </row>
    <row r="81" spans="1:22" x14ac:dyDescent="0.2">
      <c r="A81" s="88"/>
      <c r="B81" s="88"/>
      <c r="C81" s="88"/>
      <c r="D81" s="88"/>
      <c r="E81" s="88"/>
      <c r="F81" s="88"/>
      <c r="G81" s="88"/>
      <c r="H81" s="88"/>
      <c r="I81" s="88"/>
      <c r="J81" s="88"/>
      <c r="K81" s="88"/>
      <c r="L81" s="88"/>
      <c r="M81" s="88"/>
      <c r="N81" s="88"/>
      <c r="O81" s="88"/>
      <c r="P81" s="88"/>
      <c r="Q81" s="88"/>
      <c r="R81" s="88"/>
      <c r="S81" s="88"/>
      <c r="T81" s="88"/>
      <c r="U81" s="88"/>
      <c r="V81" s="88"/>
    </row>
  </sheetData>
  <sheetProtection algorithmName="SHA-512" hashValue="1ymmN4gA3Yb0HZvuUUagygdfMqSuylhJ01OxxQdsR2IH7NroJ4FLgdFCID0+FmLGE6kbN8mRhTYsJncZudSerg==" saltValue="qCayUYS4K5jWyKGB1FuRmQ==" spinCount="100000" sheet="1" formatCells="0" formatColumns="0" formatRows="0" insertColumns="0" insertRows="0"/>
  <phoneticPr fontId="0" type="noConversion"/>
  <pageMargins left="0.75" right="0.75" top="1" bottom="1" header="0.5" footer="0.5"/>
  <pageSetup scale="42" orientation="landscape" r:id="rId1"/>
  <headerFooter alignWithMargins="0">
    <oddFooter>&amp;L&amp;F
&amp;D&amp;T&amp;R&amp;"Times New Roman,Regular"&amp;8revision date:  8/6/2007</oddFooter>
  </headerFooter>
  <ignoredErrors>
    <ignoredError sqref="D28:AF28 E26:AF26 D27:AF27" formulaRange="1"/>
    <ignoredError sqref="B78:B79" evalError="1"/>
    <ignoredError sqref="C17:AF17 B5"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6a5192-e2d8-4750-98d7-f737a2847314">
      <Terms xmlns="http://schemas.microsoft.com/office/infopath/2007/PartnerControls"/>
    </lcf76f155ced4ddcb4097134ff3c332f>
    <TaxCatchAll xmlns="a345b93b-9139-4c59-8763-0eef7dcdc3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61D48516EB14FA596BE19A6600B46" ma:contentTypeVersion="13" ma:contentTypeDescription="Create a new document." ma:contentTypeScope="" ma:versionID="6472af6558c38a1112d7862b515ba1f3">
  <xsd:schema xmlns:xsd="http://www.w3.org/2001/XMLSchema" xmlns:xs="http://www.w3.org/2001/XMLSchema" xmlns:p="http://schemas.microsoft.com/office/2006/metadata/properties" xmlns:ns2="656a5192-e2d8-4750-98d7-f737a2847314" xmlns:ns3="5479e678-ada6-420d-a990-985bb7032d1a" xmlns:ns4="a345b93b-9139-4c59-8763-0eef7dcdc3e1" targetNamespace="http://schemas.microsoft.com/office/2006/metadata/properties" ma:root="true" ma:fieldsID="4192b2a1bbf0bb8fed987a17368d7062" ns2:_="" ns3:_="" ns4:_="">
    <xsd:import namespace="656a5192-e2d8-4750-98d7-f737a2847314"/>
    <xsd:import namespace="5479e678-ada6-420d-a990-985bb7032d1a"/>
    <xsd:import namespace="a345b93b-9139-4c59-8763-0eef7dcdc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GenerationTime" minOccurs="0"/>
                <xsd:element ref="ns2:MediaServiceEventHashCode"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6a5192-e2d8-4750-98d7-f737a2847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745ce22-7f69-4d97-ac05-c5d261329020"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79e678-ada6-420d-a990-985bb7032d1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45b93b-9139-4c59-8763-0eef7dcdc3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844c3e5-378c-46ec-90ce-5b4e04645e3a}" ma:internalName="TaxCatchAll" ma:showField="CatchAllData" ma:web="5479e678-ada6-420d-a990-985bb7032d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1C3C4A-9886-4C0C-9C87-5CB4CAC61B1A}">
  <ds:schemaRefs>
    <ds:schemaRef ds:uri="http://schemas.microsoft.com/sharepoint/v3/contenttype/forms"/>
  </ds:schemaRefs>
</ds:datastoreItem>
</file>

<file path=customXml/itemProps2.xml><?xml version="1.0" encoding="utf-8"?>
<ds:datastoreItem xmlns:ds="http://schemas.openxmlformats.org/officeDocument/2006/customXml" ds:itemID="{3EAD176D-2984-463B-ACB7-7F74C45CBD38}">
  <ds:schemaRefs>
    <ds:schemaRef ds:uri="http://schemas.microsoft.com/office/2006/metadata/properties"/>
    <ds:schemaRef ds:uri="http://schemas.microsoft.com/office/infopath/2007/PartnerControls"/>
    <ds:schemaRef ds:uri="bace852c-aab4-49ac-9b06-ff81c1686fd2"/>
    <ds:schemaRef ds:uri="d9ceeaf4-2ce5-428a-a013-d8b9b5ce5e82"/>
  </ds:schemaRefs>
</ds:datastoreItem>
</file>

<file path=customXml/itemProps3.xml><?xml version="1.0" encoding="utf-8"?>
<ds:datastoreItem xmlns:ds="http://schemas.openxmlformats.org/officeDocument/2006/customXml" ds:itemID="{C6222F06-C0D7-494C-82FD-FDDB7E13BE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protocols</vt:lpstr>
      <vt:lpstr>assumptions</vt:lpstr>
      <vt:lpstr>project budget</vt:lpstr>
      <vt:lpstr>sources-uses</vt:lpstr>
      <vt:lpstr>credit calcs</vt:lpstr>
      <vt:lpstr>rents</vt:lpstr>
      <vt:lpstr>rent summary</vt:lpstr>
      <vt:lpstr>expenses</vt:lpstr>
      <vt:lpstr>cashflows</vt:lpstr>
      <vt:lpstr>amortizations</vt:lpstr>
      <vt:lpstr>flow of funds</vt:lpstr>
      <vt:lpstr>Housing w Services</vt:lpstr>
      <vt:lpstr>VHFA Use</vt:lpstr>
      <vt:lpstr>amortizations!Print_Area</vt:lpstr>
      <vt:lpstr>cashflows!Print_Area</vt:lpstr>
      <vt:lpstr>'credit calcs'!Print_Area</vt:lpstr>
      <vt:lpstr>expenses!Print_Area</vt:lpstr>
      <vt:lpstr>'flow of funds'!Print_Area</vt:lpstr>
      <vt:lpstr>'Housing w Services'!Print_Area</vt:lpstr>
      <vt:lpstr>'project budget'!Print_Area</vt:lpstr>
      <vt:lpstr>'rent summary'!Print_Area</vt:lpstr>
      <vt:lpstr>rents!Print_Area</vt:lpstr>
      <vt:lpstr>'sources-uses'!Print_Area</vt:lpstr>
      <vt:lpstr>'VHFA Use'!Print_Area</vt:lpstr>
      <vt:lpstr>amortizations!Print_Titles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Erdelyi</dc:creator>
  <cp:keywords/>
  <dc:description/>
  <cp:lastModifiedBy>Olivia LaVecchia</cp:lastModifiedBy>
  <cp:revision/>
  <dcterms:created xsi:type="dcterms:W3CDTF">2007-07-31T14:15:18Z</dcterms:created>
  <dcterms:modified xsi:type="dcterms:W3CDTF">2026-02-02T21:13:27Z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0x01010052C61D48516EB14FA596BE19A6600B46</vt:lpwstr>
  </property>
  <property fmtid="{D5CDD505-2E9C-101B-9397-08002B2CF9AE}" pid="3" name="MediaServiceImageTags">
    <vt:lpwstr/>
  </property>
</Properties>
</file>